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DIETZS\Dropbox\Tipping points in climate change economics\Model\"/>
    </mc:Choice>
  </mc:AlternateContent>
  <bookViews>
    <workbookView xWindow="0" yWindow="0" windowWidth="25598" windowHeight="16058"/>
  </bookViews>
  <sheets>
    <sheet name="damages-1990" sheetId="1" r:id="rId1"/>
    <sheet name="correlation matrix" sheetId="2" r:id="rId2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FALSE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8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0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betacorrelations">'correlation matrix'!$B$2:$NY$389</definedName>
    <definedName name="Pal_Workbook_GUID" hidden="1">"M6GCWCLHQUPVH58SEZKMJTRJ"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0</definedName>
    <definedName name="RiskFixedSeed" hidden="1">3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"$J$2"</definedName>
    <definedName name="RiskSelectedNameCell1" hidden="1">"$A$2"</definedName>
    <definedName name="RiskSelectedNameCell2" hidden="1">"$J$1"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62913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" i="1" l="1"/>
  <c r="K2" i="1"/>
  <c r="L2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M3" i="1"/>
  <c r="N3" i="1"/>
  <c r="O3" i="1"/>
  <c r="P3" i="1"/>
  <c r="M4" i="1"/>
  <c r="N4" i="1"/>
  <c r="O4" i="1"/>
  <c r="P4" i="1"/>
  <c r="M5" i="1"/>
  <c r="N5" i="1"/>
  <c r="O5" i="1"/>
  <c r="P5" i="1"/>
  <c r="M6" i="1"/>
  <c r="N6" i="1"/>
  <c r="O6" i="1"/>
  <c r="P6" i="1"/>
  <c r="M7" i="1"/>
  <c r="N7" i="1"/>
  <c r="O7" i="1"/>
  <c r="P7" i="1"/>
  <c r="M8" i="1"/>
  <c r="N8" i="1"/>
  <c r="O8" i="1"/>
  <c r="P8" i="1"/>
  <c r="M9" i="1"/>
  <c r="N9" i="1"/>
  <c r="O9" i="1"/>
  <c r="P9" i="1"/>
  <c r="M10" i="1"/>
  <c r="N10" i="1"/>
  <c r="O10" i="1"/>
  <c r="P10" i="1"/>
  <c r="M11" i="1"/>
  <c r="N11" i="1"/>
  <c r="O11" i="1"/>
  <c r="P11" i="1"/>
  <c r="M12" i="1"/>
  <c r="N12" i="1"/>
  <c r="O12" i="1"/>
  <c r="P12" i="1"/>
  <c r="M13" i="1"/>
  <c r="N13" i="1"/>
  <c r="O13" i="1"/>
  <c r="P13" i="1"/>
  <c r="M14" i="1"/>
  <c r="N14" i="1"/>
  <c r="O14" i="1"/>
  <c r="P14" i="1"/>
  <c r="M15" i="1"/>
  <c r="N15" i="1"/>
  <c r="O15" i="1"/>
  <c r="P15" i="1"/>
  <c r="M16" i="1"/>
  <c r="N16" i="1"/>
  <c r="O16" i="1"/>
  <c r="P16" i="1"/>
  <c r="M17" i="1"/>
  <c r="N17" i="1"/>
  <c r="O17" i="1"/>
  <c r="P17" i="1"/>
  <c r="M18" i="1"/>
  <c r="N18" i="1"/>
  <c r="O18" i="1"/>
  <c r="P18" i="1"/>
  <c r="M19" i="1"/>
  <c r="N19" i="1"/>
  <c r="O19" i="1"/>
  <c r="P19" i="1"/>
  <c r="M20" i="1"/>
  <c r="N20" i="1"/>
  <c r="O20" i="1"/>
  <c r="P20" i="1"/>
  <c r="M21" i="1"/>
  <c r="N21" i="1"/>
  <c r="O21" i="1"/>
  <c r="P21" i="1"/>
  <c r="M22" i="1"/>
  <c r="N22" i="1"/>
  <c r="O22" i="1"/>
  <c r="P22" i="1"/>
  <c r="M23" i="1"/>
  <c r="N23" i="1"/>
  <c r="O23" i="1"/>
  <c r="P23" i="1"/>
  <c r="M24" i="1"/>
  <c r="N24" i="1"/>
  <c r="O24" i="1"/>
  <c r="P24" i="1"/>
  <c r="M25" i="1"/>
  <c r="N25" i="1"/>
  <c r="O25" i="1"/>
  <c r="P25" i="1"/>
  <c r="M26" i="1"/>
  <c r="N26" i="1"/>
  <c r="O26" i="1"/>
  <c r="P26" i="1"/>
  <c r="M27" i="1"/>
  <c r="N27" i="1"/>
  <c r="O27" i="1"/>
  <c r="P27" i="1"/>
  <c r="M28" i="1"/>
  <c r="N28" i="1"/>
  <c r="O28" i="1"/>
  <c r="P28" i="1"/>
  <c r="M29" i="1"/>
  <c r="N29" i="1"/>
  <c r="O29" i="1"/>
  <c r="P29" i="1"/>
  <c r="M30" i="1"/>
  <c r="N30" i="1"/>
  <c r="O30" i="1"/>
  <c r="P30" i="1"/>
  <c r="M31" i="1"/>
  <c r="N31" i="1"/>
  <c r="O31" i="1"/>
  <c r="P31" i="1"/>
  <c r="M32" i="1"/>
  <c r="N32" i="1"/>
  <c r="O32" i="1"/>
  <c r="P32" i="1"/>
  <c r="M33" i="1"/>
  <c r="N33" i="1"/>
  <c r="O33" i="1"/>
  <c r="P33" i="1"/>
  <c r="M34" i="1"/>
  <c r="N34" i="1"/>
  <c r="O34" i="1"/>
  <c r="P34" i="1"/>
  <c r="M35" i="1"/>
  <c r="N35" i="1"/>
  <c r="O35" i="1"/>
  <c r="P35" i="1"/>
  <c r="M36" i="1"/>
  <c r="N36" i="1"/>
  <c r="O36" i="1"/>
  <c r="P36" i="1"/>
  <c r="M37" i="1"/>
  <c r="N37" i="1"/>
  <c r="O37" i="1"/>
  <c r="P37" i="1"/>
  <c r="M38" i="1"/>
  <c r="N38" i="1"/>
  <c r="O38" i="1"/>
  <c r="P38" i="1"/>
  <c r="M39" i="1"/>
  <c r="N39" i="1"/>
  <c r="O39" i="1"/>
  <c r="P39" i="1"/>
  <c r="M40" i="1"/>
  <c r="N40" i="1"/>
  <c r="O40" i="1"/>
  <c r="P40" i="1"/>
  <c r="M41" i="1"/>
  <c r="N41" i="1"/>
  <c r="O41" i="1"/>
  <c r="P41" i="1"/>
  <c r="M42" i="1"/>
  <c r="N42" i="1"/>
  <c r="O42" i="1"/>
  <c r="P42" i="1"/>
  <c r="M43" i="1"/>
  <c r="N43" i="1"/>
  <c r="O43" i="1"/>
  <c r="P43" i="1"/>
  <c r="M44" i="1"/>
  <c r="N44" i="1"/>
  <c r="O44" i="1"/>
  <c r="P44" i="1"/>
  <c r="M45" i="1"/>
  <c r="N45" i="1"/>
  <c r="O45" i="1"/>
  <c r="P45" i="1"/>
  <c r="M46" i="1"/>
  <c r="N46" i="1"/>
  <c r="O46" i="1"/>
  <c r="P46" i="1"/>
  <c r="M47" i="1"/>
  <c r="N47" i="1"/>
  <c r="O47" i="1"/>
  <c r="P47" i="1"/>
  <c r="M48" i="1"/>
  <c r="N48" i="1"/>
  <c r="O48" i="1"/>
  <c r="P48" i="1"/>
  <c r="M49" i="1"/>
  <c r="N49" i="1"/>
  <c r="O49" i="1"/>
  <c r="P49" i="1"/>
  <c r="M50" i="1"/>
  <c r="N50" i="1"/>
  <c r="O50" i="1"/>
  <c r="P50" i="1"/>
  <c r="M51" i="1"/>
  <c r="N51" i="1"/>
  <c r="O51" i="1"/>
  <c r="P51" i="1"/>
  <c r="M52" i="1"/>
  <c r="N52" i="1"/>
  <c r="O52" i="1"/>
  <c r="P52" i="1"/>
  <c r="M53" i="1"/>
  <c r="N53" i="1"/>
  <c r="O53" i="1"/>
  <c r="P53" i="1"/>
  <c r="M54" i="1"/>
  <c r="N54" i="1"/>
  <c r="O54" i="1"/>
  <c r="P54" i="1"/>
  <c r="M55" i="1"/>
  <c r="N55" i="1"/>
  <c r="O55" i="1"/>
  <c r="P55" i="1"/>
  <c r="M56" i="1"/>
  <c r="N56" i="1"/>
  <c r="O56" i="1"/>
  <c r="P56" i="1"/>
  <c r="M57" i="1"/>
  <c r="N57" i="1"/>
  <c r="O57" i="1"/>
  <c r="P57" i="1"/>
  <c r="M58" i="1"/>
  <c r="N58" i="1"/>
  <c r="O58" i="1"/>
  <c r="P58" i="1"/>
  <c r="M59" i="1"/>
  <c r="N59" i="1"/>
  <c r="O59" i="1"/>
  <c r="P59" i="1"/>
  <c r="M60" i="1"/>
  <c r="N60" i="1"/>
  <c r="O60" i="1"/>
  <c r="P60" i="1"/>
  <c r="M61" i="1"/>
  <c r="N61" i="1"/>
  <c r="O61" i="1"/>
  <c r="P61" i="1"/>
  <c r="M62" i="1"/>
  <c r="N62" i="1"/>
  <c r="O62" i="1"/>
  <c r="P62" i="1"/>
  <c r="M63" i="1"/>
  <c r="N63" i="1"/>
  <c r="O63" i="1"/>
  <c r="P63" i="1"/>
  <c r="M64" i="1"/>
  <c r="N64" i="1"/>
  <c r="O64" i="1"/>
  <c r="P64" i="1"/>
  <c r="M65" i="1"/>
  <c r="N65" i="1"/>
  <c r="O65" i="1"/>
  <c r="P65" i="1"/>
  <c r="M66" i="1"/>
  <c r="N66" i="1"/>
  <c r="O66" i="1"/>
  <c r="P66" i="1"/>
  <c r="M67" i="1"/>
  <c r="N67" i="1"/>
  <c r="O67" i="1"/>
  <c r="P67" i="1"/>
  <c r="M68" i="1"/>
  <c r="N68" i="1"/>
  <c r="O68" i="1"/>
  <c r="P68" i="1"/>
  <c r="M69" i="1"/>
  <c r="N69" i="1"/>
  <c r="O69" i="1"/>
  <c r="P69" i="1"/>
  <c r="M70" i="1"/>
  <c r="N70" i="1"/>
  <c r="O70" i="1"/>
  <c r="P70" i="1"/>
  <c r="M71" i="1"/>
  <c r="N71" i="1"/>
  <c r="O71" i="1"/>
  <c r="P71" i="1"/>
  <c r="M72" i="1"/>
  <c r="N72" i="1"/>
  <c r="O72" i="1"/>
  <c r="P72" i="1"/>
  <c r="M73" i="1"/>
  <c r="N73" i="1"/>
  <c r="O73" i="1"/>
  <c r="P73" i="1"/>
  <c r="M74" i="1"/>
  <c r="N74" i="1"/>
  <c r="O74" i="1"/>
  <c r="P74" i="1"/>
  <c r="M75" i="1"/>
  <c r="N75" i="1"/>
  <c r="O75" i="1"/>
  <c r="P75" i="1"/>
  <c r="M76" i="1"/>
  <c r="N76" i="1"/>
  <c r="O76" i="1"/>
  <c r="P76" i="1"/>
  <c r="M77" i="1"/>
  <c r="N77" i="1"/>
  <c r="O77" i="1"/>
  <c r="P77" i="1"/>
  <c r="M78" i="1"/>
  <c r="N78" i="1"/>
  <c r="O78" i="1"/>
  <c r="P78" i="1"/>
  <c r="M79" i="1"/>
  <c r="N79" i="1"/>
  <c r="O79" i="1"/>
  <c r="P79" i="1"/>
  <c r="M80" i="1"/>
  <c r="N80" i="1"/>
  <c r="O80" i="1"/>
  <c r="P80" i="1"/>
  <c r="M81" i="1"/>
  <c r="N81" i="1"/>
  <c r="O81" i="1"/>
  <c r="P81" i="1"/>
  <c r="M82" i="1"/>
  <c r="N82" i="1"/>
  <c r="O82" i="1"/>
  <c r="P82" i="1"/>
  <c r="M83" i="1"/>
  <c r="N83" i="1"/>
  <c r="O83" i="1"/>
  <c r="P83" i="1"/>
  <c r="M84" i="1"/>
  <c r="N84" i="1"/>
  <c r="O84" i="1"/>
  <c r="P84" i="1"/>
  <c r="M85" i="1"/>
  <c r="N85" i="1"/>
  <c r="O85" i="1"/>
  <c r="P85" i="1"/>
  <c r="M86" i="1"/>
  <c r="N86" i="1"/>
  <c r="O86" i="1"/>
  <c r="P86" i="1"/>
  <c r="M87" i="1"/>
  <c r="N87" i="1"/>
  <c r="O87" i="1"/>
  <c r="P87" i="1"/>
  <c r="M88" i="1"/>
  <c r="N88" i="1"/>
  <c r="O88" i="1"/>
  <c r="P88" i="1"/>
  <c r="M89" i="1"/>
  <c r="N89" i="1"/>
  <c r="O89" i="1"/>
  <c r="P89" i="1"/>
  <c r="M90" i="1"/>
  <c r="N90" i="1"/>
  <c r="O90" i="1"/>
  <c r="P90" i="1"/>
  <c r="M91" i="1"/>
  <c r="N91" i="1"/>
  <c r="O91" i="1"/>
  <c r="P91" i="1"/>
  <c r="M92" i="1"/>
  <c r="N92" i="1"/>
  <c r="O92" i="1"/>
  <c r="P92" i="1"/>
  <c r="M93" i="1"/>
  <c r="N93" i="1"/>
  <c r="O93" i="1"/>
  <c r="P93" i="1"/>
  <c r="M94" i="1"/>
  <c r="N94" i="1"/>
  <c r="O94" i="1"/>
  <c r="P94" i="1"/>
  <c r="M95" i="1"/>
  <c r="N95" i="1"/>
  <c r="O95" i="1"/>
  <c r="P95" i="1"/>
  <c r="M96" i="1"/>
  <c r="N96" i="1"/>
  <c r="O96" i="1"/>
  <c r="P96" i="1"/>
  <c r="M97" i="1"/>
  <c r="N97" i="1"/>
  <c r="O97" i="1"/>
  <c r="P97" i="1"/>
  <c r="M98" i="1"/>
  <c r="N98" i="1"/>
  <c r="O98" i="1"/>
  <c r="P98" i="1"/>
  <c r="M99" i="1"/>
  <c r="N99" i="1"/>
  <c r="O99" i="1"/>
  <c r="P99" i="1"/>
  <c r="M100" i="1"/>
  <c r="N100" i="1"/>
  <c r="O100" i="1"/>
  <c r="P100" i="1"/>
  <c r="M101" i="1"/>
  <c r="N101" i="1"/>
  <c r="O101" i="1"/>
  <c r="P101" i="1"/>
  <c r="M102" i="1"/>
  <c r="N102" i="1"/>
  <c r="O102" i="1"/>
  <c r="P102" i="1"/>
  <c r="M103" i="1"/>
  <c r="N103" i="1"/>
  <c r="O103" i="1"/>
  <c r="P103" i="1"/>
  <c r="M104" i="1"/>
  <c r="N104" i="1"/>
  <c r="O104" i="1"/>
  <c r="P104" i="1"/>
  <c r="M105" i="1"/>
  <c r="N105" i="1"/>
  <c r="O105" i="1"/>
  <c r="P105" i="1"/>
  <c r="M106" i="1"/>
  <c r="N106" i="1"/>
  <c r="O106" i="1"/>
  <c r="P106" i="1"/>
  <c r="M107" i="1"/>
  <c r="N107" i="1"/>
  <c r="O107" i="1"/>
  <c r="P107" i="1"/>
  <c r="M108" i="1"/>
  <c r="N108" i="1"/>
  <c r="O108" i="1"/>
  <c r="P108" i="1"/>
  <c r="M109" i="1"/>
  <c r="N109" i="1"/>
  <c r="O109" i="1"/>
  <c r="P109" i="1"/>
  <c r="M110" i="1"/>
  <c r="N110" i="1"/>
  <c r="O110" i="1"/>
  <c r="P110" i="1"/>
  <c r="M111" i="1"/>
  <c r="N111" i="1"/>
  <c r="O111" i="1"/>
  <c r="P111" i="1"/>
  <c r="M112" i="1"/>
  <c r="N112" i="1"/>
  <c r="O112" i="1"/>
  <c r="P112" i="1"/>
  <c r="M113" i="1"/>
  <c r="N113" i="1"/>
  <c r="O113" i="1"/>
  <c r="P113" i="1"/>
  <c r="M114" i="1"/>
  <c r="N114" i="1"/>
  <c r="O114" i="1"/>
  <c r="P114" i="1"/>
  <c r="M115" i="1"/>
  <c r="N115" i="1"/>
  <c r="O115" i="1"/>
  <c r="P115" i="1"/>
  <c r="M116" i="1"/>
  <c r="N116" i="1"/>
  <c r="O116" i="1"/>
  <c r="P116" i="1"/>
  <c r="M117" i="1"/>
  <c r="N117" i="1"/>
  <c r="O117" i="1"/>
  <c r="P117" i="1"/>
  <c r="M118" i="1"/>
  <c r="N118" i="1"/>
  <c r="O118" i="1"/>
  <c r="P118" i="1"/>
  <c r="M119" i="1"/>
  <c r="N119" i="1"/>
  <c r="O119" i="1"/>
  <c r="P119" i="1"/>
  <c r="M120" i="1"/>
  <c r="N120" i="1"/>
  <c r="O120" i="1"/>
  <c r="P120" i="1"/>
  <c r="M121" i="1"/>
  <c r="N121" i="1"/>
  <c r="O121" i="1"/>
  <c r="P121" i="1"/>
  <c r="M122" i="1"/>
  <c r="N122" i="1"/>
  <c r="O122" i="1"/>
  <c r="P122" i="1"/>
  <c r="M123" i="1"/>
  <c r="N123" i="1"/>
  <c r="O123" i="1"/>
  <c r="P123" i="1"/>
  <c r="M124" i="1"/>
  <c r="N124" i="1"/>
  <c r="O124" i="1"/>
  <c r="P124" i="1"/>
  <c r="M125" i="1"/>
  <c r="N125" i="1"/>
  <c r="O125" i="1"/>
  <c r="P125" i="1"/>
  <c r="M126" i="1"/>
  <c r="N126" i="1"/>
  <c r="O126" i="1"/>
  <c r="P126" i="1"/>
  <c r="M127" i="1"/>
  <c r="N127" i="1"/>
  <c r="O127" i="1"/>
  <c r="P127" i="1"/>
  <c r="M128" i="1"/>
  <c r="N128" i="1"/>
  <c r="O128" i="1"/>
  <c r="P128" i="1"/>
  <c r="M129" i="1"/>
  <c r="N129" i="1"/>
  <c r="O129" i="1"/>
  <c r="P129" i="1"/>
  <c r="M130" i="1"/>
  <c r="N130" i="1"/>
  <c r="O130" i="1"/>
  <c r="P130" i="1"/>
  <c r="M131" i="1"/>
  <c r="N131" i="1"/>
  <c r="O131" i="1"/>
  <c r="P131" i="1"/>
  <c r="M132" i="1"/>
  <c r="N132" i="1"/>
  <c r="O132" i="1"/>
  <c r="P132" i="1"/>
  <c r="M133" i="1"/>
  <c r="N133" i="1"/>
  <c r="O133" i="1"/>
  <c r="P133" i="1"/>
  <c r="M134" i="1"/>
  <c r="N134" i="1"/>
  <c r="O134" i="1"/>
  <c r="P134" i="1"/>
  <c r="M135" i="1"/>
  <c r="N135" i="1"/>
  <c r="O135" i="1"/>
  <c r="P135" i="1"/>
  <c r="M136" i="1"/>
  <c r="N136" i="1"/>
  <c r="O136" i="1"/>
  <c r="P136" i="1"/>
  <c r="M137" i="1"/>
  <c r="N137" i="1"/>
  <c r="O137" i="1"/>
  <c r="P137" i="1"/>
  <c r="M138" i="1"/>
  <c r="N138" i="1"/>
  <c r="O138" i="1"/>
  <c r="P138" i="1"/>
  <c r="M139" i="1"/>
  <c r="N139" i="1"/>
  <c r="O139" i="1"/>
  <c r="P139" i="1"/>
  <c r="M140" i="1"/>
  <c r="N140" i="1"/>
  <c r="O140" i="1"/>
  <c r="P140" i="1"/>
  <c r="M141" i="1"/>
  <c r="N141" i="1"/>
  <c r="O141" i="1"/>
  <c r="P141" i="1"/>
  <c r="M142" i="1"/>
  <c r="N142" i="1"/>
  <c r="O142" i="1"/>
  <c r="P142" i="1"/>
  <c r="M143" i="1"/>
  <c r="N143" i="1"/>
  <c r="O143" i="1"/>
  <c r="P143" i="1"/>
  <c r="M144" i="1"/>
  <c r="N144" i="1"/>
  <c r="O144" i="1"/>
  <c r="P144" i="1"/>
  <c r="M145" i="1"/>
  <c r="N145" i="1"/>
  <c r="O145" i="1"/>
  <c r="P145" i="1"/>
  <c r="M146" i="1"/>
  <c r="N146" i="1"/>
  <c r="O146" i="1"/>
  <c r="P146" i="1"/>
  <c r="M147" i="1"/>
  <c r="N147" i="1"/>
  <c r="O147" i="1"/>
  <c r="P147" i="1"/>
  <c r="M148" i="1"/>
  <c r="N148" i="1"/>
  <c r="O148" i="1"/>
  <c r="P148" i="1"/>
  <c r="M149" i="1"/>
  <c r="N149" i="1"/>
  <c r="O149" i="1"/>
  <c r="P149" i="1"/>
  <c r="M150" i="1"/>
  <c r="N150" i="1"/>
  <c r="O150" i="1"/>
  <c r="P150" i="1"/>
  <c r="M151" i="1"/>
  <c r="N151" i="1"/>
  <c r="O151" i="1"/>
  <c r="P151" i="1"/>
  <c r="M152" i="1"/>
  <c r="N152" i="1"/>
  <c r="O152" i="1"/>
  <c r="P152" i="1"/>
  <c r="M153" i="1"/>
  <c r="N153" i="1"/>
  <c r="O153" i="1"/>
  <c r="P153" i="1"/>
  <c r="M154" i="1"/>
  <c r="N154" i="1"/>
  <c r="O154" i="1"/>
  <c r="P154" i="1"/>
  <c r="M155" i="1"/>
  <c r="N155" i="1"/>
  <c r="O155" i="1"/>
  <c r="P155" i="1"/>
  <c r="M156" i="1"/>
  <c r="N156" i="1"/>
  <c r="O156" i="1"/>
  <c r="P156" i="1"/>
  <c r="M157" i="1"/>
  <c r="N157" i="1"/>
  <c r="O157" i="1"/>
  <c r="P157" i="1"/>
  <c r="M158" i="1"/>
  <c r="N158" i="1"/>
  <c r="O158" i="1"/>
  <c r="P158" i="1"/>
  <c r="M159" i="1"/>
  <c r="N159" i="1"/>
  <c r="O159" i="1"/>
  <c r="P159" i="1"/>
  <c r="M160" i="1"/>
  <c r="N160" i="1"/>
  <c r="O160" i="1"/>
  <c r="P160" i="1"/>
  <c r="M161" i="1"/>
  <c r="N161" i="1"/>
  <c r="O161" i="1"/>
  <c r="P161" i="1"/>
  <c r="M162" i="1"/>
  <c r="N162" i="1"/>
  <c r="O162" i="1"/>
  <c r="P162" i="1"/>
  <c r="M163" i="1"/>
  <c r="N163" i="1"/>
  <c r="O163" i="1"/>
  <c r="P163" i="1"/>
  <c r="M164" i="1"/>
  <c r="N164" i="1"/>
  <c r="O164" i="1"/>
  <c r="P164" i="1"/>
  <c r="M165" i="1"/>
  <c r="N165" i="1"/>
  <c r="O165" i="1"/>
  <c r="P165" i="1"/>
  <c r="M166" i="1"/>
  <c r="N166" i="1"/>
  <c r="O166" i="1"/>
  <c r="P166" i="1"/>
  <c r="M167" i="1"/>
  <c r="N167" i="1"/>
  <c r="O167" i="1"/>
  <c r="P167" i="1"/>
  <c r="M168" i="1"/>
  <c r="N168" i="1"/>
  <c r="O168" i="1"/>
  <c r="P168" i="1"/>
  <c r="M169" i="1"/>
  <c r="N169" i="1"/>
  <c r="O169" i="1"/>
  <c r="P169" i="1"/>
  <c r="M170" i="1"/>
  <c r="N170" i="1"/>
  <c r="O170" i="1"/>
  <c r="P170" i="1"/>
  <c r="M171" i="1"/>
  <c r="N171" i="1"/>
  <c r="O171" i="1"/>
  <c r="P171" i="1"/>
  <c r="M172" i="1"/>
  <c r="N172" i="1"/>
  <c r="O172" i="1"/>
  <c r="P172" i="1"/>
  <c r="M173" i="1"/>
  <c r="N173" i="1"/>
  <c r="O173" i="1"/>
  <c r="P173" i="1"/>
  <c r="M174" i="1"/>
  <c r="N174" i="1"/>
  <c r="O174" i="1"/>
  <c r="P174" i="1"/>
  <c r="M175" i="1"/>
  <c r="N175" i="1"/>
  <c r="O175" i="1"/>
  <c r="P175" i="1"/>
  <c r="M176" i="1"/>
  <c r="N176" i="1"/>
  <c r="O176" i="1"/>
  <c r="P176" i="1"/>
  <c r="M177" i="1"/>
  <c r="N177" i="1"/>
  <c r="O177" i="1"/>
  <c r="P177" i="1"/>
  <c r="M178" i="1"/>
  <c r="N178" i="1"/>
  <c r="O178" i="1"/>
  <c r="P178" i="1"/>
  <c r="M179" i="1"/>
  <c r="N179" i="1"/>
  <c r="O179" i="1"/>
  <c r="P179" i="1"/>
  <c r="M180" i="1"/>
  <c r="N180" i="1"/>
  <c r="O180" i="1"/>
  <c r="P180" i="1"/>
  <c r="M181" i="1"/>
  <c r="N181" i="1"/>
  <c r="O181" i="1"/>
  <c r="P181" i="1"/>
  <c r="M182" i="1"/>
  <c r="N182" i="1"/>
  <c r="O182" i="1"/>
  <c r="P182" i="1"/>
  <c r="M183" i="1"/>
  <c r="N183" i="1"/>
  <c r="O183" i="1"/>
  <c r="P183" i="1"/>
  <c r="M184" i="1"/>
  <c r="N184" i="1"/>
  <c r="O184" i="1"/>
  <c r="P184" i="1"/>
  <c r="M185" i="1"/>
  <c r="N185" i="1"/>
  <c r="O185" i="1"/>
  <c r="P185" i="1"/>
  <c r="M186" i="1"/>
  <c r="N186" i="1"/>
  <c r="O186" i="1"/>
  <c r="P186" i="1"/>
  <c r="M187" i="1"/>
  <c r="N187" i="1"/>
  <c r="O187" i="1"/>
  <c r="P187" i="1"/>
  <c r="M188" i="1"/>
  <c r="N188" i="1"/>
  <c r="O188" i="1"/>
  <c r="P188" i="1"/>
  <c r="M189" i="1"/>
  <c r="N189" i="1"/>
  <c r="O189" i="1"/>
  <c r="P189" i="1"/>
  <c r="M190" i="1"/>
  <c r="N190" i="1"/>
  <c r="O190" i="1"/>
  <c r="P190" i="1"/>
  <c r="M191" i="1"/>
  <c r="N191" i="1"/>
  <c r="O191" i="1"/>
  <c r="P191" i="1"/>
  <c r="M192" i="1"/>
  <c r="N192" i="1"/>
  <c r="O192" i="1"/>
  <c r="P192" i="1"/>
  <c r="M193" i="1"/>
  <c r="N193" i="1"/>
  <c r="O193" i="1"/>
  <c r="P193" i="1"/>
  <c r="M194" i="1"/>
  <c r="N194" i="1"/>
  <c r="O194" i="1"/>
  <c r="P194" i="1"/>
  <c r="M195" i="1"/>
  <c r="N195" i="1"/>
  <c r="O195" i="1"/>
  <c r="P195" i="1"/>
  <c r="P2" i="1"/>
  <c r="N2" i="1"/>
  <c r="O2" i="1"/>
  <c r="M2" i="1"/>
  <c r="I146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JO1" i="2"/>
  <c r="A346" i="2"/>
  <c r="KJ1" i="2"/>
  <c r="NH1" i="2"/>
  <c r="A347" i="2"/>
  <c r="A332" i="2"/>
  <c r="NB1" i="2"/>
  <c r="ED1" i="2"/>
  <c r="A300" i="2"/>
  <c r="A314" i="2"/>
  <c r="A20" i="2"/>
  <c r="A10" i="2"/>
  <c r="A190" i="2"/>
  <c r="A128" i="2"/>
  <c r="A294" i="2"/>
  <c r="FK1" i="2"/>
  <c r="A258" i="2"/>
  <c r="DI1" i="2"/>
  <c r="GK1" i="2"/>
  <c r="GT1" i="2"/>
  <c r="A189" i="2"/>
  <c r="A234" i="2"/>
  <c r="JZ1" i="2"/>
  <c r="A210" i="2"/>
  <c r="A206" i="2"/>
  <c r="A27" i="2"/>
  <c r="A254" i="2"/>
  <c r="CQ1" i="2"/>
  <c r="HM1" i="2"/>
  <c r="MS1" i="2"/>
  <c r="IR1" i="2"/>
  <c r="HB1" i="2"/>
  <c r="A120" i="2"/>
  <c r="A319" i="2"/>
  <c r="LZ1" i="2"/>
  <c r="I1" i="2"/>
  <c r="BY1" i="2"/>
  <c r="A242" i="2"/>
  <c r="A110" i="2"/>
  <c r="JR1" i="2"/>
  <c r="A236" i="2"/>
  <c r="A8" i="2"/>
  <c r="MW1" i="2"/>
  <c r="A322" i="2"/>
  <c r="A123" i="2"/>
  <c r="MT1" i="2"/>
  <c r="DM1" i="2"/>
  <c r="A326" i="2"/>
  <c r="AB1" i="2"/>
  <c r="A272" i="2"/>
  <c r="A218" i="2"/>
  <c r="U1" i="2"/>
  <c r="A184" i="2"/>
  <c r="IY1" i="2"/>
  <c r="A60" i="2"/>
  <c r="JQ1" i="2"/>
  <c r="NE1" i="2"/>
  <c r="A43" i="2"/>
  <c r="CY1" i="2"/>
  <c r="A187" i="2"/>
  <c r="A34" i="2"/>
  <c r="A66" i="2"/>
  <c r="FJ1" i="2"/>
  <c r="A37" i="2"/>
  <c r="HP1" i="2"/>
  <c r="A176" i="2"/>
  <c r="BD1" i="2"/>
  <c r="JC1" i="2"/>
  <c r="A310" i="2"/>
  <c r="HC1" i="2"/>
  <c r="CW1" i="2"/>
  <c r="A173" i="2"/>
  <c r="AN1" i="2"/>
  <c r="A193" i="2"/>
  <c r="A227" i="2"/>
  <c r="A46" i="2"/>
  <c r="A307" i="2"/>
  <c r="A237" i="2"/>
  <c r="FX1" i="2"/>
  <c r="EE1" i="2"/>
  <c r="A36" i="2"/>
  <c r="A229" i="2"/>
  <c r="A157" i="2"/>
  <c r="LG1" i="2"/>
  <c r="LN1" i="2"/>
  <c r="BU1" i="2"/>
  <c r="HN1" i="2"/>
  <c r="A182" i="2"/>
  <c r="A171" i="2"/>
  <c r="FW1" i="2"/>
  <c r="A214" i="2"/>
  <c r="FU1" i="2"/>
  <c r="CL1" i="2"/>
  <c r="A324" i="2"/>
  <c r="A303" i="2"/>
  <c r="GG1" i="2"/>
  <c r="A138" i="2"/>
  <c r="JX1" i="2"/>
  <c r="A165" i="2"/>
  <c r="EO1" i="2"/>
  <c r="A168" i="2"/>
  <c r="A159" i="2"/>
  <c r="LP1" i="2"/>
  <c r="BP1" i="2"/>
  <c r="DS1" i="2"/>
  <c r="MX1" i="2"/>
  <c r="A26" i="2"/>
  <c r="DY1" i="2"/>
  <c r="GD1" i="2"/>
  <c r="FB1" i="2"/>
  <c r="M1" i="2"/>
  <c r="A104" i="2"/>
  <c r="A112" i="2"/>
  <c r="A235" i="2"/>
  <c r="A188" i="2"/>
  <c r="O1" i="2"/>
  <c r="NY1" i="2"/>
  <c r="A101" i="2"/>
  <c r="A88" i="2"/>
  <c r="AE1" i="2"/>
  <c r="A362" i="2"/>
  <c r="FL1" i="2"/>
  <c r="LT1" i="2"/>
  <c r="A94" i="2"/>
  <c r="A286" i="2"/>
  <c r="A9" i="2"/>
  <c r="A140" i="2"/>
  <c r="A279" i="2"/>
  <c r="A301" i="2"/>
  <c r="A87" i="2"/>
  <c r="J1" i="2"/>
  <c r="A283" i="2"/>
  <c r="A338" i="2"/>
  <c r="DV1" i="2"/>
  <c r="EC1" i="2"/>
  <c r="A261" i="2"/>
  <c r="ER1" i="2"/>
  <c r="GB1" i="2"/>
  <c r="DF1" i="2"/>
  <c r="DR1" i="2"/>
  <c r="A220" i="2"/>
  <c r="HF1" i="2"/>
  <c r="BJ1" i="2"/>
  <c r="BR1" i="2"/>
  <c r="FP1" i="2"/>
  <c r="CX1" i="2"/>
  <c r="NO1" i="2"/>
  <c r="Z1" i="2"/>
  <c r="A108" i="2"/>
  <c r="A28" i="2"/>
  <c r="A14" i="2"/>
  <c r="A302" i="2"/>
  <c r="A248" i="2"/>
  <c r="IA1" i="2"/>
  <c r="A113" i="2"/>
  <c r="A228" i="2"/>
  <c r="A379" i="2"/>
  <c r="KO1" i="2"/>
  <c r="IO1" i="2"/>
  <c r="A148" i="2"/>
  <c r="HW1" i="2"/>
  <c r="A217" i="2"/>
  <c r="FS1" i="2"/>
  <c r="A23" i="2"/>
  <c r="HL1" i="2"/>
  <c r="A97" i="2"/>
  <c r="MI1" i="2"/>
  <c r="A364" i="2"/>
  <c r="A174" i="2"/>
  <c r="A377" i="2"/>
  <c r="DD1" i="2"/>
  <c r="A321" i="2"/>
  <c r="BO1" i="2"/>
  <c r="CN1" i="2"/>
  <c r="MF1" i="2"/>
  <c r="A38" i="2"/>
  <c r="A199" i="2"/>
  <c r="A284" i="2"/>
  <c r="EX1" i="2"/>
  <c r="A44" i="2"/>
  <c r="DN1" i="2"/>
  <c r="A355" i="2"/>
  <c r="CZ1" i="2"/>
  <c r="A64" i="2"/>
  <c r="JV1" i="2"/>
  <c r="GS1" i="2"/>
  <c r="LX1" i="2"/>
  <c r="A289" i="2"/>
  <c r="LI1" i="2"/>
  <c r="A320" i="2"/>
  <c r="A86" i="2"/>
  <c r="HX1" i="2"/>
  <c r="D1" i="2"/>
  <c r="K1" i="2"/>
  <c r="KV1" i="2"/>
  <c r="JW1" i="2"/>
  <c r="A274" i="2"/>
  <c r="S1" i="2"/>
  <c r="MN1" i="2"/>
  <c r="A205" i="2"/>
  <c r="A3" i="2"/>
  <c r="A115" i="2"/>
  <c r="A76" i="2"/>
  <c r="HA1" i="2"/>
  <c r="A117" i="2"/>
  <c r="JY1" i="2"/>
  <c r="A335" i="2"/>
  <c r="BG1" i="2"/>
  <c r="A361" i="2"/>
  <c r="EM1" i="2"/>
  <c r="IQ1" i="2"/>
  <c r="GE1" i="2"/>
  <c r="KC1" i="2"/>
  <c r="GR1" i="2"/>
  <c r="A81" i="2"/>
  <c r="GN1" i="2"/>
  <c r="A334" i="2"/>
  <c r="A331" i="2"/>
  <c r="A293" i="2"/>
  <c r="NP1" i="2"/>
  <c r="DH1" i="2"/>
  <c r="GV1" i="2"/>
  <c r="MC1" i="2"/>
  <c r="A68" i="2"/>
  <c r="HU1" i="2"/>
  <c r="A39" i="2"/>
  <c r="A194" i="2"/>
  <c r="A323" i="2"/>
  <c r="JP1" i="2"/>
  <c r="A211" i="2"/>
  <c r="LV1" i="2"/>
  <c r="A268" i="2"/>
  <c r="BC1" i="2"/>
  <c r="FV1" i="2"/>
  <c r="KE1" i="2"/>
  <c r="A83" i="2"/>
  <c r="NJ1" i="2"/>
  <c r="A90" i="2"/>
  <c r="HY1" i="2"/>
  <c r="AJ1" i="2"/>
  <c r="A208" i="2"/>
  <c r="HT1" i="2"/>
  <c r="DJ1" i="2"/>
  <c r="A74" i="2"/>
  <c r="GP1" i="2"/>
  <c r="A365" i="2"/>
  <c r="A93" i="2"/>
  <c r="A144" i="2"/>
  <c r="A216" i="2"/>
  <c r="GU1" i="2"/>
  <c r="A5" i="2"/>
  <c r="KR1" i="2"/>
  <c r="A299" i="2"/>
  <c r="A353" i="2"/>
  <c r="AO1" i="2"/>
  <c r="IK1" i="2"/>
  <c r="HR1" i="2"/>
  <c r="EV1" i="2"/>
  <c r="NR1" i="2"/>
  <c r="A186" i="2"/>
  <c r="A317" i="2"/>
  <c r="A170" i="2"/>
  <c r="JI1" i="2"/>
  <c r="BN1" i="2"/>
  <c r="A180" i="2"/>
  <c r="A295" i="2"/>
  <c r="BV1" i="2"/>
  <c r="A31" i="2"/>
  <c r="A357" i="2"/>
  <c r="LH1" i="2"/>
  <c r="KH1" i="2"/>
  <c r="IT1" i="2"/>
  <c r="DE1" i="2"/>
  <c r="A277" i="2"/>
  <c r="A96" i="2"/>
  <c r="A24" i="2"/>
  <c r="A259" i="2"/>
  <c r="A298" i="2"/>
  <c r="A147" i="2"/>
  <c r="IH1" i="2"/>
  <c r="A92" i="2"/>
  <c r="KT1" i="2"/>
  <c r="KN1" i="2"/>
  <c r="DT1" i="2"/>
  <c r="A156" i="2"/>
  <c r="A149" i="2"/>
  <c r="FE1" i="2"/>
  <c r="IC1" i="2"/>
  <c r="CB1" i="2"/>
  <c r="A16" i="2"/>
  <c r="NG1" i="2"/>
  <c r="A89" i="2"/>
  <c r="A119" i="2"/>
  <c r="A308" i="2"/>
  <c r="MZ1" i="2"/>
  <c r="IZ1" i="2"/>
  <c r="A154" i="2"/>
  <c r="B1" i="2"/>
  <c r="HE1" i="2"/>
  <c r="A137" i="2"/>
  <c r="MY1" i="2"/>
  <c r="AY1" i="2"/>
  <c r="Q1" i="2"/>
  <c r="A270" i="2"/>
  <c r="A32" i="2"/>
  <c r="MG1" i="2"/>
  <c r="JB1" i="2"/>
  <c r="IJ1" i="2"/>
  <c r="A296" i="2"/>
  <c r="CT1" i="2"/>
  <c r="NL1" i="2"/>
  <c r="GM1" i="2"/>
  <c r="A15" i="2"/>
  <c r="AU1" i="2"/>
  <c r="A7" i="2"/>
  <c r="A387" i="2"/>
  <c r="AC1" i="2"/>
  <c r="BQ1" i="2"/>
  <c r="AA1" i="2"/>
  <c r="A50" i="2"/>
  <c r="A222" i="2"/>
  <c r="A245" i="2"/>
  <c r="A285" i="2"/>
  <c r="HG1" i="2"/>
  <c r="LD1" i="2"/>
  <c r="DW1" i="2"/>
  <c r="JM1" i="2"/>
  <c r="A56" i="2"/>
  <c r="A345" i="2"/>
  <c r="BF1" i="2"/>
  <c r="A290" i="2"/>
  <c r="A124" i="2"/>
  <c r="MU1" i="2"/>
  <c r="EF1" i="2"/>
  <c r="IU1" i="2"/>
  <c r="A305" i="2"/>
  <c r="A292" i="2"/>
  <c r="FH1" i="2"/>
  <c r="A41" i="2"/>
  <c r="A351" i="2"/>
  <c r="A202" i="2"/>
  <c r="A251" i="2"/>
  <c r="BA1" i="2"/>
  <c r="A280" i="2"/>
  <c r="A383" i="2"/>
  <c r="A130" i="2"/>
  <c r="LY1" i="2"/>
  <c r="A356" i="2"/>
  <c r="CJ1" i="2"/>
  <c r="CH1" i="2"/>
  <c r="A232" i="2"/>
  <c r="IV1" i="2"/>
  <c r="NT1" i="2"/>
  <c r="A333" i="2"/>
  <c r="A126" i="2"/>
  <c r="A340" i="2"/>
  <c r="AT1" i="2"/>
  <c r="A106" i="2"/>
  <c r="A370" i="2"/>
  <c r="A129" i="2"/>
  <c r="F1" i="2"/>
  <c r="ES1" i="2"/>
  <c r="LQ1" i="2"/>
  <c r="MP1" i="2"/>
  <c r="CC1" i="2"/>
  <c r="KD1" i="2"/>
  <c r="N1" i="2"/>
  <c r="GO1" i="2"/>
  <c r="IE1" i="2"/>
  <c r="A95" i="2"/>
  <c r="JU1" i="2"/>
  <c r="AR1" i="2"/>
  <c r="A256" i="2"/>
  <c r="A371" i="2"/>
  <c r="DC1" i="2"/>
  <c r="A233" i="2"/>
  <c r="KP1" i="2"/>
  <c r="A389" i="2"/>
  <c r="A375" i="2"/>
  <c r="A62" i="2"/>
  <c r="EG1" i="2"/>
  <c r="NX1" i="2"/>
  <c r="KX1" i="2"/>
  <c r="A363" i="2"/>
  <c r="CI1" i="2"/>
  <c r="A142" i="2"/>
  <c r="CF1" i="2"/>
  <c r="A224" i="2"/>
  <c r="A318" i="2"/>
  <c r="A350" i="2"/>
  <c r="BT1" i="2"/>
  <c r="JD1" i="2"/>
  <c r="FD1" i="2"/>
  <c r="A204" i="2"/>
  <c r="NQ1" i="2"/>
  <c r="A161" i="2"/>
  <c r="A209" i="2"/>
  <c r="A49" i="2"/>
  <c r="A163" i="2"/>
  <c r="A388" i="2"/>
  <c r="A241" i="2"/>
  <c r="A207" i="2"/>
  <c r="A358" i="2"/>
  <c r="NN1" i="2"/>
  <c r="A133" i="2"/>
  <c r="A63" i="2"/>
  <c r="A352" i="2"/>
  <c r="A287" i="2"/>
  <c r="W1" i="2"/>
  <c r="GY1" i="2"/>
  <c r="AM1" i="2"/>
  <c r="A160" i="2"/>
  <c r="A374" i="2"/>
  <c r="A35" i="2"/>
  <c r="A196" i="2"/>
  <c r="KY1" i="2"/>
  <c r="MV1" i="2"/>
  <c r="FY1" i="2"/>
  <c r="A223" i="2"/>
  <c r="AZ1" i="2"/>
  <c r="EI1" i="2"/>
  <c r="HK1" i="2"/>
  <c r="A172" i="2"/>
  <c r="EL1" i="2"/>
  <c r="FM1" i="2"/>
  <c r="MM1" i="2"/>
  <c r="A183" i="2"/>
  <c r="GQ1" i="2"/>
  <c r="ME1" i="2"/>
  <c r="JL1" i="2"/>
  <c r="A100" i="2"/>
  <c r="GW1" i="2"/>
  <c r="IG1" i="2"/>
  <c r="A354" i="2"/>
  <c r="A77" i="2"/>
  <c r="A276" i="2"/>
  <c r="A145" i="2"/>
  <c r="KK1" i="2"/>
  <c r="A278" i="2"/>
  <c r="A273" i="2"/>
  <c r="A373" i="2"/>
  <c r="A240" i="2"/>
  <c r="LK1" i="2"/>
  <c r="A348" i="2"/>
  <c r="A17" i="2"/>
  <c r="EW1" i="2"/>
  <c r="A360" i="2"/>
  <c r="A203" i="2"/>
  <c r="AD1" i="2"/>
  <c r="A376" i="2"/>
  <c r="EZ1" i="2"/>
  <c r="CA1" i="2"/>
  <c r="A201" i="2"/>
  <c r="A80" i="2"/>
  <c r="HZ1" i="2"/>
  <c r="T1" i="2"/>
  <c r="A125" i="2"/>
  <c r="A226" i="2"/>
  <c r="A175" i="2"/>
  <c r="JE1" i="2"/>
  <c r="A11" i="2"/>
  <c r="A33" i="2"/>
  <c r="A57" i="2"/>
  <c r="IW1" i="2"/>
  <c r="A19" i="2"/>
  <c r="A327" i="2"/>
  <c r="CD1" i="2"/>
  <c r="A381" i="2"/>
  <c r="IB1" i="2"/>
  <c r="JJ1" i="2"/>
  <c r="LJ1" i="2"/>
  <c r="MA1" i="2"/>
  <c r="JA1" i="2"/>
  <c r="A329" i="2"/>
  <c r="BE1" i="2"/>
  <c r="HD1" i="2"/>
  <c r="KQ1" i="2"/>
  <c r="KU1" i="2"/>
  <c r="A386" i="2"/>
  <c r="DK1" i="2"/>
  <c r="A136" i="2"/>
  <c r="CV1" i="2"/>
  <c r="A212" i="2"/>
  <c r="CM1" i="2"/>
  <c r="A316" i="2"/>
  <c r="A69" i="2"/>
  <c r="JN1" i="2"/>
  <c r="A325" i="2"/>
  <c r="II1" i="2"/>
  <c r="A311" i="2"/>
  <c r="LF1" i="2"/>
  <c r="R1" i="2"/>
  <c r="CG1" i="2"/>
  <c r="A103" i="2"/>
  <c r="A344" i="2"/>
  <c r="A118" i="2"/>
  <c r="A75" i="2"/>
  <c r="GZ1" i="2"/>
  <c r="LB1" i="2"/>
  <c r="A230" i="2"/>
  <c r="A257" i="2"/>
  <c r="A263" i="2"/>
  <c r="HI1" i="2"/>
  <c r="BX1" i="2"/>
  <c r="IP1" i="2"/>
  <c r="FR1" i="2"/>
  <c r="A342" i="2"/>
  <c r="A282" i="2"/>
  <c r="A67" i="2"/>
  <c r="ID1" i="2"/>
  <c r="A247" i="2"/>
  <c r="DA1" i="2"/>
  <c r="JK1" i="2"/>
  <c r="Y1" i="2"/>
  <c r="AK1" i="2"/>
  <c r="EU1" i="2"/>
  <c r="A341" i="2"/>
  <c r="NM1" i="2"/>
  <c r="IL1" i="2"/>
  <c r="DU1" i="2"/>
  <c r="KF1" i="2"/>
  <c r="A4" i="2"/>
  <c r="GH1" i="2"/>
  <c r="DG1" i="2"/>
  <c r="A55" i="2"/>
  <c r="HH1" i="2"/>
  <c r="A153" i="2"/>
  <c r="JT1" i="2"/>
  <c r="DQ1" i="2"/>
  <c r="A221" i="2"/>
  <c r="A105" i="2"/>
  <c r="BL1" i="2"/>
  <c r="A155" i="2"/>
  <c r="NK1" i="2"/>
  <c r="DL1" i="2"/>
  <c r="IN1" i="2"/>
  <c r="A264" i="2"/>
  <c r="A30" i="2"/>
  <c r="A114" i="2"/>
  <c r="A246" i="2"/>
  <c r="A384" i="2"/>
  <c r="BW1" i="2"/>
  <c r="A372" i="2"/>
  <c r="EQ1" i="2"/>
  <c r="A131" i="2"/>
  <c r="A200" i="2"/>
  <c r="EJ1" i="2"/>
  <c r="A291" i="2"/>
  <c r="A191" i="2"/>
  <c r="KA1" i="2"/>
  <c r="A52" i="2"/>
  <c r="FF1" i="2"/>
  <c r="EH1" i="2"/>
  <c r="A281" i="2"/>
  <c r="A231" i="2"/>
  <c r="KB1" i="2"/>
  <c r="A72" i="2"/>
  <c r="A315" i="2"/>
  <c r="NV1" i="2"/>
  <c r="HQ1" i="2"/>
  <c r="A309" i="2"/>
  <c r="A134" i="2"/>
  <c r="A177" i="2"/>
  <c r="V1" i="2"/>
  <c r="AH1" i="2"/>
  <c r="A312" i="2"/>
  <c r="A243" i="2"/>
  <c r="A29" i="2"/>
  <c r="A366" i="2"/>
  <c r="CS1" i="2"/>
  <c r="IM1" i="2"/>
  <c r="GJ1" i="2"/>
  <c r="A339" i="2"/>
  <c r="A146" i="2"/>
  <c r="BH1" i="2"/>
  <c r="A73" i="2"/>
  <c r="A195" i="2"/>
  <c r="MD1" i="2"/>
  <c r="AP1" i="2"/>
  <c r="A249" i="2"/>
  <c r="A18" i="2"/>
  <c r="G1" i="2"/>
  <c r="EP1" i="2"/>
  <c r="A150" i="2"/>
  <c r="FA1" i="2"/>
  <c r="JS1" i="2"/>
  <c r="A91" i="2"/>
  <c r="A297" i="2"/>
  <c r="A70" i="2"/>
  <c r="LM1" i="2"/>
  <c r="FC1" i="2"/>
  <c r="LR1" i="2"/>
  <c r="A267" i="2"/>
  <c r="A169" i="2"/>
  <c r="KI1" i="2"/>
  <c r="A143" i="2"/>
  <c r="A215" i="2"/>
  <c r="A98" i="2"/>
  <c r="A127" i="2"/>
  <c r="A385" i="2"/>
  <c r="FG1" i="2"/>
  <c r="A192" i="2"/>
  <c r="CP1" i="2"/>
  <c r="CO1" i="2"/>
  <c r="A2" i="2"/>
  <c r="A250" i="2"/>
  <c r="A382" i="2"/>
  <c r="A82" i="2"/>
  <c r="ML1" i="2"/>
  <c r="A40" i="2"/>
  <c r="A337" i="2"/>
  <c r="A369" i="2"/>
  <c r="A47" i="2"/>
  <c r="A59" i="2"/>
  <c r="L1" i="2"/>
  <c r="EY1" i="2"/>
  <c r="CE1" i="2"/>
  <c r="ND1" i="2"/>
  <c r="A238" i="2"/>
  <c r="X1" i="2"/>
  <c r="KL1" i="2"/>
  <c r="DZ1" i="2"/>
  <c r="A262" i="2"/>
  <c r="NS1" i="2"/>
  <c r="A12" i="2"/>
  <c r="A53" i="2"/>
  <c r="LS1" i="2"/>
  <c r="LU1" i="2"/>
  <c r="A265" i="2"/>
  <c r="FO1" i="2"/>
  <c r="A166" i="2"/>
  <c r="CU1" i="2"/>
  <c r="A141" i="2"/>
  <c r="MK1" i="2"/>
  <c r="AG1" i="2"/>
  <c r="E1" i="2"/>
  <c r="EK1" i="2"/>
  <c r="A349" i="2"/>
  <c r="A58" i="2"/>
  <c r="A45" i="2"/>
  <c r="HJ1" i="2"/>
  <c r="C1" i="2"/>
  <c r="H1" i="2"/>
  <c r="A255" i="2"/>
  <c r="A116" i="2"/>
  <c r="A111" i="2"/>
  <c r="A219" i="2"/>
  <c r="EN1" i="2"/>
  <c r="CR1" i="2"/>
  <c r="A54" i="2"/>
  <c r="BS1" i="2"/>
  <c r="A269" i="2"/>
  <c r="A107" i="2"/>
  <c r="AL1" i="2"/>
  <c r="A368" i="2"/>
  <c r="FT1" i="2"/>
  <c r="MJ1" i="2"/>
  <c r="LL1" i="2"/>
  <c r="NW1" i="2"/>
  <c r="A65" i="2"/>
  <c r="IS1" i="2"/>
  <c r="BM1" i="2"/>
  <c r="DP1" i="2"/>
  <c r="FZ1" i="2"/>
  <c r="A359" i="2"/>
  <c r="A239" i="2"/>
  <c r="IX1" i="2"/>
  <c r="A132" i="2"/>
  <c r="AF1" i="2"/>
  <c r="A260" i="2"/>
  <c r="A121" i="2"/>
  <c r="A380" i="2"/>
  <c r="A135" i="2"/>
  <c r="A225" i="2"/>
  <c r="A304" i="2"/>
  <c r="MH1" i="2"/>
  <c r="KM1" i="2"/>
  <c r="NA1" i="2"/>
  <c r="A25" i="2"/>
  <c r="FN1" i="2"/>
  <c r="HO1" i="2"/>
  <c r="A213" i="2"/>
  <c r="A367" i="2"/>
  <c r="AV1" i="2"/>
  <c r="DO1" i="2"/>
  <c r="FQ1" i="2"/>
  <c r="A378" i="2"/>
  <c r="EB1" i="2"/>
  <c r="NU1" i="2"/>
  <c r="KG1" i="2"/>
  <c r="A275" i="2"/>
  <c r="A197" i="2"/>
  <c r="AX1" i="2"/>
  <c r="A198" i="2"/>
  <c r="A336" i="2"/>
  <c r="A122" i="2"/>
  <c r="BZ1" i="2"/>
  <c r="A244" i="2"/>
  <c r="LO1" i="2"/>
  <c r="A21" i="2"/>
  <c r="GI1" i="2"/>
  <c r="A22" i="2"/>
  <c r="ET1" i="2"/>
  <c r="GC1" i="2"/>
  <c r="A306" i="2"/>
  <c r="CK1" i="2"/>
  <c r="A313" i="2"/>
  <c r="A78" i="2"/>
  <c r="A139" i="2"/>
  <c r="DX1" i="2"/>
  <c r="A71" i="2"/>
  <c r="BK1" i="2"/>
  <c r="EA1" i="2"/>
  <c r="A164" i="2"/>
  <c r="FI1" i="2"/>
  <c r="JF1" i="2"/>
  <c r="A13" i="2"/>
  <c r="AI1" i="2"/>
  <c r="BB1" i="2"/>
  <c r="IF1" i="2"/>
  <c r="HV1" i="2"/>
  <c r="A152" i="2"/>
  <c r="JG1" i="2"/>
  <c r="A85" i="2"/>
  <c r="NI1" i="2"/>
  <c r="A109" i="2"/>
  <c r="A48" i="2"/>
  <c r="NC1" i="2"/>
  <c r="NF1" i="2"/>
  <c r="KZ1" i="2"/>
  <c r="A271" i="2"/>
  <c r="GF1" i="2"/>
  <c r="GA1" i="2"/>
  <c r="DB1" i="2"/>
  <c r="LC1" i="2"/>
  <c r="A343" i="2"/>
  <c r="MR1" i="2"/>
  <c r="A79" i="2"/>
  <c r="JH1" i="2"/>
  <c r="A185" i="2"/>
  <c r="A6" i="2"/>
  <c r="AQ1" i="2"/>
  <c r="MO1" i="2"/>
  <c r="A162" i="2"/>
  <c r="LE1" i="2"/>
  <c r="A102" i="2"/>
  <c r="A61" i="2"/>
  <c r="LW1" i="2"/>
  <c r="A328" i="2"/>
  <c r="A51" i="2"/>
  <c r="MB1" i="2"/>
  <c r="A151" i="2"/>
  <c r="KW1" i="2"/>
  <c r="A288" i="2"/>
  <c r="A266" i="2"/>
  <c r="A99" i="2"/>
  <c r="P1" i="2"/>
  <c r="A253" i="2"/>
  <c r="A84" i="2"/>
  <c r="BI1" i="2"/>
  <c r="A252" i="2"/>
  <c r="AW1" i="2"/>
  <c r="A181" i="2"/>
  <c r="AS1" i="2"/>
  <c r="A158" i="2"/>
  <c r="LA1" i="2"/>
  <c r="MQ1" i="2"/>
  <c r="A179" i="2"/>
  <c r="A330" i="2"/>
  <c r="GL1" i="2"/>
  <c r="A167" i="2"/>
  <c r="KS1" i="2"/>
  <c r="GX1" i="2"/>
  <c r="A178" i="2"/>
  <c r="A42" i="2"/>
  <c r="HS1" i="2"/>
</calcChain>
</file>

<file path=xl/comments1.xml><?xml version="1.0" encoding="utf-8"?>
<comments xmlns="http://schemas.openxmlformats.org/spreadsheetml/2006/main">
  <authors>
    <author>DIETZS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@RISK Correlation betacorrelations
Updated: 15/04/2020 11:25:45</t>
        </r>
      </text>
    </comment>
  </commentList>
</comments>
</file>

<file path=xl/sharedStrings.xml><?xml version="1.0" encoding="utf-8"?>
<sst xmlns="http://schemas.openxmlformats.org/spreadsheetml/2006/main" count="212" uniqueCount="212">
  <si>
    <t>iso</t>
  </si>
  <si>
    <t>temp1990</t>
  </si>
  <si>
    <t>beta1</t>
  </si>
  <si>
    <t>beta2</t>
  </si>
  <si>
    <t>var11</t>
  </si>
  <si>
    <t>var12</t>
  </si>
  <si>
    <t>var22</t>
  </si>
  <si>
    <t>verr</t>
  </si>
  <si>
    <t>BEN</t>
  </si>
  <si>
    <t>TJK</t>
  </si>
  <si>
    <t>FJI</t>
  </si>
  <si>
    <t>PNG</t>
  </si>
  <si>
    <t>MDG</t>
  </si>
  <si>
    <t>MRT</t>
  </si>
  <si>
    <t>BEL</t>
  </si>
  <si>
    <t>DMA</t>
  </si>
  <si>
    <t>HND</t>
  </si>
  <si>
    <t>SRB</t>
  </si>
  <si>
    <t>NOR</t>
  </si>
  <si>
    <t>RWA</t>
  </si>
  <si>
    <t>DOM</t>
  </si>
  <si>
    <t>STP</t>
  </si>
  <si>
    <t>NCL</t>
  </si>
  <si>
    <t>LIE</t>
  </si>
  <si>
    <t>KAZ</t>
  </si>
  <si>
    <t>SYR</t>
  </si>
  <si>
    <t>CZE</t>
  </si>
  <si>
    <t>ATG</t>
  </si>
  <si>
    <t>YEM</t>
  </si>
  <si>
    <t>PRT</t>
  </si>
  <si>
    <t>RUS</t>
  </si>
  <si>
    <t>IRQ</t>
  </si>
  <si>
    <t>IRL</t>
  </si>
  <si>
    <t>IRN</t>
  </si>
  <si>
    <t>NAM</t>
  </si>
  <si>
    <t>BOL</t>
  </si>
  <si>
    <t>COD</t>
  </si>
  <si>
    <t>LKA</t>
  </si>
  <si>
    <t>AZE</t>
  </si>
  <si>
    <t>GRD</t>
  </si>
  <si>
    <t>GRC</t>
  </si>
  <si>
    <t>GNQ</t>
  </si>
  <si>
    <t>VEN</t>
  </si>
  <si>
    <t>URY</t>
  </si>
  <si>
    <t>NGA</t>
  </si>
  <si>
    <t>BMU</t>
  </si>
  <si>
    <t>LUX</t>
  </si>
  <si>
    <t>WSM</t>
  </si>
  <si>
    <t>DEU</t>
  </si>
  <si>
    <t>NER</t>
  </si>
  <si>
    <t>MEX</t>
  </si>
  <si>
    <t>KGZ</t>
  </si>
  <si>
    <t>CPV</t>
  </si>
  <si>
    <t>ZMB</t>
  </si>
  <si>
    <t>ITA</t>
  </si>
  <si>
    <t>BIH</t>
  </si>
  <si>
    <t>SLV</t>
  </si>
  <si>
    <t>SLE</t>
  </si>
  <si>
    <t>SLB</t>
  </si>
  <si>
    <t>CRI</t>
  </si>
  <si>
    <t>PSE</t>
  </si>
  <si>
    <t>AGO</t>
  </si>
  <si>
    <t>BWA</t>
  </si>
  <si>
    <t>MAR</t>
  </si>
  <si>
    <t>LSO</t>
  </si>
  <si>
    <t>TUR</t>
  </si>
  <si>
    <t>TUV</t>
  </si>
  <si>
    <t>TUN</t>
  </si>
  <si>
    <t>MOZ</t>
  </si>
  <si>
    <t>ETH</t>
  </si>
  <si>
    <t>CMR</t>
  </si>
  <si>
    <t>IND</t>
  </si>
  <si>
    <t>GLP</t>
  </si>
  <si>
    <t>MMR</t>
  </si>
  <si>
    <t>KOR</t>
  </si>
  <si>
    <t>ERI</t>
  </si>
  <si>
    <t>PER</t>
  </si>
  <si>
    <t>COG</t>
  </si>
  <si>
    <t>COM</t>
  </si>
  <si>
    <t>COL</t>
  </si>
  <si>
    <t>GNB</t>
  </si>
  <si>
    <t>SDN</t>
  </si>
  <si>
    <t>MKD</t>
  </si>
  <si>
    <t>GUF</t>
  </si>
  <si>
    <t>GUY</t>
  </si>
  <si>
    <t>HUN</t>
  </si>
  <si>
    <t>REU</t>
  </si>
  <si>
    <t>CAN</t>
  </si>
  <si>
    <t>CAF</t>
  </si>
  <si>
    <t>GHA</t>
  </si>
  <si>
    <t>GTM</t>
  </si>
  <si>
    <t>ZAF</t>
  </si>
  <si>
    <t>VUT</t>
  </si>
  <si>
    <t>KHM</t>
  </si>
  <si>
    <t>MWI</t>
  </si>
  <si>
    <t>TON</t>
  </si>
  <si>
    <t>LBR</t>
  </si>
  <si>
    <t>LBY</t>
  </si>
  <si>
    <t>LBN</t>
  </si>
  <si>
    <t>BFA</t>
  </si>
  <si>
    <t>MUS</t>
  </si>
  <si>
    <t>KWT</t>
  </si>
  <si>
    <t>CIV</t>
  </si>
  <si>
    <t>HKG</t>
  </si>
  <si>
    <t>ROU</t>
  </si>
  <si>
    <t>BDI</t>
  </si>
  <si>
    <t>IDN</t>
  </si>
  <si>
    <t>JOR</t>
  </si>
  <si>
    <t>PRI</t>
  </si>
  <si>
    <t>PRK</t>
  </si>
  <si>
    <t>PRY</t>
  </si>
  <si>
    <t>TKM</t>
  </si>
  <si>
    <t>NLD</t>
  </si>
  <si>
    <t>SSD</t>
  </si>
  <si>
    <t>ECU</t>
  </si>
  <si>
    <t>CYP</t>
  </si>
  <si>
    <t>POL</t>
  </si>
  <si>
    <t>SUR</t>
  </si>
  <si>
    <t>DNK</t>
  </si>
  <si>
    <t>FIN</t>
  </si>
  <si>
    <t>AUS</t>
  </si>
  <si>
    <t>AUT</t>
  </si>
  <si>
    <t>ZWE</t>
  </si>
  <si>
    <t>ISR</t>
  </si>
  <si>
    <t>ISL</t>
  </si>
  <si>
    <t>FRA</t>
  </si>
  <si>
    <t>SWE</t>
  </si>
  <si>
    <t>TGO</t>
  </si>
  <si>
    <t>QAT</t>
  </si>
  <si>
    <t>FSM</t>
  </si>
  <si>
    <t>USA</t>
  </si>
  <si>
    <t>DJI</t>
  </si>
  <si>
    <t>BLZ</t>
  </si>
  <si>
    <t>BLR</t>
  </si>
  <si>
    <t>LTU</t>
  </si>
  <si>
    <t>TCD</t>
  </si>
  <si>
    <t>GEO</t>
  </si>
  <si>
    <t>SVN</t>
  </si>
  <si>
    <t>SVK</t>
  </si>
  <si>
    <t>LVA</t>
  </si>
  <si>
    <t>MYS</t>
  </si>
  <si>
    <t>ALB</t>
  </si>
  <si>
    <t>PAK</t>
  </si>
  <si>
    <t>PAN</t>
  </si>
  <si>
    <t>SMR</t>
  </si>
  <si>
    <t>MDA</t>
  </si>
  <si>
    <t>NZL</t>
  </si>
  <si>
    <t>BHS</t>
  </si>
  <si>
    <t>BHR</t>
  </si>
  <si>
    <t>GBR</t>
  </si>
  <si>
    <t>EGY</t>
  </si>
  <si>
    <t>VNM</t>
  </si>
  <si>
    <t>TZA</t>
  </si>
  <si>
    <t>SOM</t>
  </si>
  <si>
    <t>GAB</t>
  </si>
  <si>
    <t>CUB</t>
  </si>
  <si>
    <t>TTO</t>
  </si>
  <si>
    <t>UKR</t>
  </si>
  <si>
    <t>SAU</t>
  </si>
  <si>
    <t>CHE</t>
  </si>
  <si>
    <t>CHL</t>
  </si>
  <si>
    <t>CHN</t>
  </si>
  <si>
    <t>JAM</t>
  </si>
  <si>
    <t>AFG</t>
  </si>
  <si>
    <t>BTN</t>
  </si>
  <si>
    <t>MNE</t>
  </si>
  <si>
    <t>MNG</t>
  </si>
  <si>
    <t>GMB</t>
  </si>
  <si>
    <t>BRN</t>
  </si>
  <si>
    <t>BRB</t>
  </si>
  <si>
    <t>BRA</t>
  </si>
  <si>
    <t>EST</t>
  </si>
  <si>
    <t>ESP</t>
  </si>
  <si>
    <t>ESH</t>
  </si>
  <si>
    <t>HRV</t>
  </si>
  <si>
    <t>UGA</t>
  </si>
  <si>
    <t>SEN</t>
  </si>
  <si>
    <t>OMN</t>
  </si>
  <si>
    <t>MLI</t>
  </si>
  <si>
    <t>NRU</t>
  </si>
  <si>
    <t>KNA</t>
  </si>
  <si>
    <t>HTI</t>
  </si>
  <si>
    <t>GIN</t>
  </si>
  <si>
    <t>NPL</t>
  </si>
  <si>
    <t>TLS</t>
  </si>
  <si>
    <t>ARE</t>
  </si>
  <si>
    <t>ARG</t>
  </si>
  <si>
    <t>DZA</t>
  </si>
  <si>
    <t>KEN</t>
  </si>
  <si>
    <t>PHL</t>
  </si>
  <si>
    <t>AND</t>
  </si>
  <si>
    <t>LAO</t>
  </si>
  <si>
    <t>JPN</t>
  </si>
  <si>
    <t>BGD</t>
  </si>
  <si>
    <t>BGR</t>
  </si>
  <si>
    <t>THA</t>
  </si>
  <si>
    <t>NIC</t>
  </si>
  <si>
    <t>PLW</t>
  </si>
  <si>
    <t>MTQ</t>
  </si>
  <si>
    <t>ARM</t>
  </si>
  <si>
    <t>UZB</t>
  </si>
  <si>
    <t>TWN</t>
  </si>
  <si>
    <t>correl12</t>
  </si>
  <si>
    <t>beta1dist</t>
  </si>
  <si>
    <t>beta2dist</t>
  </si>
  <si>
    <t>errdist</t>
  </si>
  <si>
    <t>@RISK Correlations</t>
  </si>
  <si>
    <t>beta1low</t>
  </si>
  <si>
    <t>beta2low</t>
  </si>
  <si>
    <t>beta1high</t>
  </si>
  <si>
    <t>beta2high</t>
  </si>
  <si>
    <t>beta1low, beta2low, beta1high and beta2high are for sensitivity analysis; defined as 2.5% and 97.5%; currently ignores fact that beta1 and beta2 are strongly negatively correlated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</si>
</sst>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Tahoma"/>
      <family val="2"/>
    </font>
    <font>
      <b/>
      <sz val="9"/>
      <color indexed="81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NumberFormat="1"/>
    <xf numFmtId="0" fontId="18" fillId="33" borderId="10" xfId="0" quotePrefix="1" applyFont="1" applyFill="1" applyBorder="1"/>
    <xf numFmtId="0" fontId="18" fillId="34" borderId="11" xfId="0" applyFont="1" applyFill="1" applyBorder="1" applyAlignment="1">
      <alignment horizontal="left" vertical="center"/>
    </xf>
    <xf numFmtId="0" fontId="18" fillId="35" borderId="11" xfId="0" applyFont="1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18" fillId="35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5"/>
  <sheetViews>
    <sheetView tabSelected="1" topLeftCell="E1" workbookViewId="0">
      <selection activeCell="J2" sqref="J2"/>
    </sheetView>
  </sheetViews>
  <sheetFormatPr defaultColWidth="8.796875"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202</v>
      </c>
      <c r="J1" t="s">
        <v>203</v>
      </c>
      <c r="K1" t="s">
        <v>204</v>
      </c>
      <c r="L1" t="s">
        <v>205</v>
      </c>
      <c r="M1" t="s">
        <v>207</v>
      </c>
      <c r="N1" t="s">
        <v>208</v>
      </c>
      <c r="O1" t="s">
        <v>209</v>
      </c>
      <c r="P1" t="s">
        <v>210</v>
      </c>
    </row>
    <row r="2" spans="1:20" x14ac:dyDescent="0.45">
      <c r="A2" t="s">
        <v>163</v>
      </c>
      <c r="B2">
        <v>12.410939310621201</v>
      </c>
      <c r="C2">
        <v>-3.0208396726817899E-4</v>
      </c>
      <c r="D2">
        <v>4.2105516879596E-4</v>
      </c>
      <c r="E2" s="1">
        <v>1.13146884467792E-10</v>
      </c>
      <c r="F2" s="1">
        <v>-2.8265995778790199E-11</v>
      </c>
      <c r="G2" s="1">
        <v>9.8230348615130701E-12</v>
      </c>
      <c r="H2" s="1">
        <v>3.8223742396392099E-8</v>
      </c>
      <c r="I2" s="2">
        <f t="shared" ref="I2:I54" si="0">F2/(SQRT(E2)*SQRT(G2))</f>
        <v>-0.84785219154612845</v>
      </c>
      <c r="J2">
        <f ca="1">_xll.RiskNormal(C2,SQRT(E2),_xll.RiskCorrmat(betacorrelations,1))</f>
        <v>-3.0208396726817899E-4</v>
      </c>
      <c r="K2">
        <f ca="1">_xll.RiskNormal(D2,SQRT(G2),_xll.RiskCorrmat(betacorrelations,2))</f>
        <v>4.2105516879596E-4</v>
      </c>
      <c r="L2">
        <f ca="1">_xll.RiskNormal(0,SQRT(H2))</f>
        <v>0</v>
      </c>
      <c r="M2" s="1">
        <f>C2-1.96*SQRT(E2)</f>
        <v>-3.229325900373566E-4</v>
      </c>
      <c r="N2" s="1">
        <f>D2-1.96*SQRT(G2)</f>
        <v>4.1491219144584803E-4</v>
      </c>
      <c r="O2" s="1">
        <f>C2+1.96*SQRT(E2)</f>
        <v>-2.8123534449900139E-4</v>
      </c>
      <c r="P2" s="1">
        <f>D2+1.96*SQRT(G2)</f>
        <v>4.2719814614607197E-4</v>
      </c>
      <c r="R2" t="s">
        <v>211</v>
      </c>
      <c r="T2" s="1"/>
    </row>
    <row r="3" spans="1:20" x14ac:dyDescent="0.45">
      <c r="A3" t="s">
        <v>61</v>
      </c>
      <c r="B3">
        <v>22.402268280389201</v>
      </c>
      <c r="C3">
        <v>9.73803251153222E-3</v>
      </c>
      <c r="D3">
        <v>4.3999740386088302E-4</v>
      </c>
      <c r="E3" s="1">
        <v>4.2296013299453501E-9</v>
      </c>
      <c r="F3" s="1">
        <v>-1.39970779471805E-9</v>
      </c>
      <c r="G3" s="1">
        <v>6.1811906212753499E-10</v>
      </c>
      <c r="H3" s="1">
        <v>2.8081825160441201E-7</v>
      </c>
      <c r="I3" s="2">
        <f t="shared" si="0"/>
        <v>-0.86566846209173021</v>
      </c>
      <c r="J3">
        <f ca="1">_xll.RiskNormal(C3,SQRT(E3),_xll.RiskCorrmat(betacorrelations,3))</f>
        <v>9.73803251153222E-3</v>
      </c>
      <c r="K3">
        <f ca="1">_xll.RiskNormal(D3,SQRT(G3),_xll.RiskCorrmat(betacorrelations,4))</f>
        <v>4.3999740386088302E-4</v>
      </c>
      <c r="L3">
        <f ca="1">_xll.RiskNormal(0,SQRT(H3))</f>
        <v>0</v>
      </c>
      <c r="M3" s="1">
        <f t="shared" ref="M3:M66" si="1">C3-1.96*SQRT(E3)</f>
        <v>9.6105631565125988E-3</v>
      </c>
      <c r="N3" s="1">
        <f t="shared" ref="N3:N66" si="2">D3-1.96*SQRT(G3)</f>
        <v>3.9126788314633936E-4</v>
      </c>
      <c r="O3" s="1">
        <f t="shared" ref="O3:O66" si="3">C3+1.96*SQRT(E3)</f>
        <v>9.8655018665518412E-3</v>
      </c>
      <c r="P3" s="1">
        <f t="shared" ref="P3:P66" si="4">D3+1.96*SQRT(G3)</f>
        <v>4.8872692457542662E-4</v>
      </c>
    </row>
    <row r="4" spans="1:20" x14ac:dyDescent="0.45">
      <c r="A4" t="s">
        <v>141</v>
      </c>
      <c r="B4">
        <v>12.222763663033801</v>
      </c>
      <c r="C4">
        <v>-1.39265691089626E-3</v>
      </c>
      <c r="D4">
        <v>4.79850831898278E-4</v>
      </c>
      <c r="E4" s="1">
        <v>1.9521531038991799E-10</v>
      </c>
      <c r="F4" s="1">
        <v>-5.7487153084757202E-11</v>
      </c>
      <c r="G4" s="1">
        <v>2.2603021571498701E-11</v>
      </c>
      <c r="H4" s="1">
        <v>2.39013597759438E-8</v>
      </c>
      <c r="I4" s="2">
        <f t="shared" si="0"/>
        <v>-0.86542734636430174</v>
      </c>
      <c r="J4">
        <f ca="1">_xll.RiskNormal(C4,SQRT(E4),_xll.RiskCorrmat(betacorrelations,5))</f>
        <v>-1.39265691089626E-3</v>
      </c>
      <c r="K4">
        <f ca="1">_xll.RiskNormal(D4,SQRT(G4),_xll.RiskCorrmat(betacorrelations,6))</f>
        <v>4.79850831898278E-4</v>
      </c>
      <c r="L4">
        <f ca="1">_xll.RiskNormal(0,SQRT(H4))</f>
        <v>0</v>
      </c>
      <c r="M4" s="1">
        <f t="shared" si="1"/>
        <v>-1.4200419275366403E-3</v>
      </c>
      <c r="N4" s="1">
        <f t="shared" si="2"/>
        <v>4.7053247540858149E-4</v>
      </c>
      <c r="O4" s="1">
        <f t="shared" si="3"/>
        <v>-1.3652718942558798E-3</v>
      </c>
      <c r="P4" s="1">
        <f t="shared" si="4"/>
        <v>4.8916918838797451E-4</v>
      </c>
    </row>
    <row r="5" spans="1:20" x14ac:dyDescent="0.45">
      <c r="A5" t="s">
        <v>190</v>
      </c>
      <c r="B5">
        <v>4.1971742574491104</v>
      </c>
      <c r="C5">
        <v>-8.6689308314261207E-3</v>
      </c>
      <c r="D5">
        <v>5.3160846005297904E-4</v>
      </c>
      <c r="E5" s="1">
        <v>3.8771937190812802E-9</v>
      </c>
      <c r="F5" s="1">
        <v>-9.6096293971291107E-10</v>
      </c>
      <c r="G5" s="1">
        <v>2.9557605950438398E-10</v>
      </c>
      <c r="H5" s="1">
        <v>2.5818966110434202E-7</v>
      </c>
      <c r="I5" s="2">
        <f t="shared" si="0"/>
        <v>-0.89766286891214864</v>
      </c>
      <c r="J5">
        <f ca="1">_xll.RiskNormal(C5,SQRT(E5),_xll.RiskCorrmat(betacorrelations,7))</f>
        <v>-8.6689308314261207E-3</v>
      </c>
      <c r="K5">
        <f ca="1">_xll.RiskNormal(D5,SQRT(G5),_xll.RiskCorrmat(betacorrelations,8))</f>
        <v>5.3160846005297904E-4</v>
      </c>
      <c r="L5">
        <f ca="1">_xll.RiskNormal(0,SQRT(H5))</f>
        <v>0</v>
      </c>
      <c r="M5" s="1">
        <f t="shared" si="1"/>
        <v>-8.790974378536251E-3</v>
      </c>
      <c r="N5" s="1">
        <f t="shared" si="2"/>
        <v>4.9791150187880487E-4</v>
      </c>
      <c r="O5" s="1">
        <f t="shared" si="3"/>
        <v>-8.5468872843159904E-3</v>
      </c>
      <c r="P5" s="1">
        <f t="shared" si="4"/>
        <v>5.6530541822715321E-4</v>
      </c>
    </row>
    <row r="6" spans="1:20" x14ac:dyDescent="0.45">
      <c r="A6" t="s">
        <v>185</v>
      </c>
      <c r="B6">
        <v>27.106900302557499</v>
      </c>
      <c r="C6">
        <v>1.40424618451594E-2</v>
      </c>
      <c r="D6">
        <v>4.1053986416852701E-4</v>
      </c>
      <c r="E6" s="1">
        <v>1.00991950098625E-8</v>
      </c>
      <c r="F6" s="1">
        <v>-3.0019301563308101E-9</v>
      </c>
      <c r="G6" s="1">
        <v>1.1821175517175999E-9</v>
      </c>
      <c r="H6" s="1">
        <v>8.65288527641695E-7</v>
      </c>
      <c r="I6" s="2">
        <f t="shared" si="0"/>
        <v>-0.86881412237507094</v>
      </c>
      <c r="J6">
        <f ca="1">_xll.RiskNormal(C6,SQRT(E6),_xll.RiskCorrmat(betacorrelations,9))</f>
        <v>1.40424618451594E-2</v>
      </c>
      <c r="K6">
        <f ca="1">_xll.RiskNormal(D6,SQRT(G6),_xll.RiskCorrmat(betacorrelations,10))</f>
        <v>4.1053986416852701E-4</v>
      </c>
      <c r="L6">
        <f ca="1">_xll.RiskNormal(0,SQRT(H6))</f>
        <v>0</v>
      </c>
      <c r="M6" s="1">
        <f t="shared" si="1"/>
        <v>1.3845492132894068E-2</v>
      </c>
      <c r="N6" s="1">
        <f t="shared" si="2"/>
        <v>3.431512687930606E-4</v>
      </c>
      <c r="O6" s="1">
        <f t="shared" si="3"/>
        <v>1.4239431557424732E-2</v>
      </c>
      <c r="P6" s="1">
        <f t="shared" si="4"/>
        <v>4.7792845954399343E-4</v>
      </c>
    </row>
    <row r="7" spans="1:20" x14ac:dyDescent="0.45">
      <c r="A7" t="s">
        <v>186</v>
      </c>
      <c r="B7">
        <v>17.841045347054401</v>
      </c>
      <c r="C7">
        <v>1.9488163273140601E-3</v>
      </c>
      <c r="D7">
        <v>4.4844724474107299E-4</v>
      </c>
      <c r="E7" s="1">
        <v>8.5538498666143597E-10</v>
      </c>
      <c r="F7" s="1">
        <v>-3.8013303189473801E-10</v>
      </c>
      <c r="G7" s="1">
        <v>2.3551917471375102E-10</v>
      </c>
      <c r="H7" s="1">
        <v>2.26027540331356E-8</v>
      </c>
      <c r="I7" s="2">
        <f t="shared" si="0"/>
        <v>-0.84691858333489789</v>
      </c>
      <c r="J7">
        <f ca="1">_xll.RiskNormal(C7,SQRT(E7),_xll.RiskCorrmat(betacorrelations,11))</f>
        <v>1.9488163273140601E-3</v>
      </c>
      <c r="K7">
        <f ca="1">_xll.RiskNormal(D7,SQRT(G7),_xll.RiskCorrmat(betacorrelations,12))</f>
        <v>4.4844724474107299E-4</v>
      </c>
      <c r="L7">
        <f ca="1">_xll.RiskNormal(0,SQRT(H7))</f>
        <v>0</v>
      </c>
      <c r="M7" s="1">
        <f t="shared" si="1"/>
        <v>1.8914922750780346E-3</v>
      </c>
      <c r="N7" s="1">
        <f t="shared" si="2"/>
        <v>4.1836784212765087E-4</v>
      </c>
      <c r="O7" s="1">
        <f t="shared" si="3"/>
        <v>2.0061403795500854E-3</v>
      </c>
      <c r="P7" s="1">
        <f t="shared" si="4"/>
        <v>4.785266473544951E-4</v>
      </c>
    </row>
    <row r="8" spans="1:20" x14ac:dyDescent="0.45">
      <c r="A8" t="s">
        <v>199</v>
      </c>
      <c r="B8">
        <v>8.2111429662465998</v>
      </c>
      <c r="C8">
        <v>-6.2240583201345597E-3</v>
      </c>
      <c r="D8">
        <v>4.4067600338763E-4</v>
      </c>
      <c r="E8" s="1">
        <v>1.62987281359812E-9</v>
      </c>
      <c r="F8" s="1">
        <v>-3.4587910972761301E-10</v>
      </c>
      <c r="G8" s="1">
        <v>9.0271585502086902E-11</v>
      </c>
      <c r="H8" s="1">
        <v>1.2441673613925999E-7</v>
      </c>
      <c r="I8" s="2">
        <f t="shared" si="0"/>
        <v>-0.90172049218550976</v>
      </c>
      <c r="J8">
        <f ca="1">_xll.RiskNormal(C8,SQRT(E8),_xll.RiskCorrmat(betacorrelations,13))</f>
        <v>-6.2240583201345597E-3</v>
      </c>
      <c r="K8">
        <f ca="1">_xll.RiskNormal(D8,SQRT(G8),_xll.RiskCorrmat(betacorrelations,14))</f>
        <v>4.4067600338763E-4</v>
      </c>
      <c r="L8">
        <f ca="1">_xll.RiskNormal(0,SQRT(H8))</f>
        <v>0</v>
      </c>
      <c r="M8" s="1">
        <f t="shared" si="1"/>
        <v>-6.303186819429811E-3</v>
      </c>
      <c r="N8" s="1">
        <f t="shared" si="2"/>
        <v>4.2205377680580531E-4</v>
      </c>
      <c r="O8" s="1">
        <f t="shared" si="3"/>
        <v>-6.1449298208393083E-3</v>
      </c>
      <c r="P8" s="1">
        <f t="shared" si="4"/>
        <v>4.5929822996945469E-4</v>
      </c>
    </row>
    <row r="9" spans="1:20" x14ac:dyDescent="0.45">
      <c r="A9" t="s">
        <v>27</v>
      </c>
      <c r="B9">
        <v>26.9343493731755</v>
      </c>
      <c r="C9">
        <v>1.2992921235668701E-2</v>
      </c>
      <c r="D9">
        <v>4.4901308985200101E-4</v>
      </c>
      <c r="E9" s="1">
        <v>2.27997107759864E-8</v>
      </c>
      <c r="F9" s="1">
        <v>-9.2765305527639208E-9</v>
      </c>
      <c r="G9" s="1">
        <v>4.96140216601821E-9</v>
      </c>
      <c r="H9" s="1">
        <v>8.8438551634693996E-7</v>
      </c>
      <c r="I9" s="2">
        <f t="shared" si="0"/>
        <v>-0.87220524589465664</v>
      </c>
      <c r="J9">
        <f ca="1">_xll.RiskNormal(C9,SQRT(E9),_xll.RiskCorrmat(betacorrelations,15))</f>
        <v>1.2992921235668701E-2</v>
      </c>
      <c r="K9">
        <f ca="1">_xll.RiskNormal(D9,SQRT(G9),_xll.RiskCorrmat(betacorrelations,16))</f>
        <v>4.4901308985200101E-4</v>
      </c>
      <c r="L9">
        <f ca="1">_xll.RiskNormal(0,SQRT(H9))</f>
        <v>0</v>
      </c>
      <c r="M9" s="1">
        <f t="shared" si="1"/>
        <v>1.2696969602936207E-2</v>
      </c>
      <c r="N9" s="1">
        <f t="shared" si="2"/>
        <v>3.1095613580413149E-4</v>
      </c>
      <c r="O9" s="1">
        <f t="shared" si="3"/>
        <v>1.3288872868401195E-2</v>
      </c>
      <c r="P9" s="1">
        <f t="shared" si="4"/>
        <v>5.8707004389987058E-4</v>
      </c>
    </row>
    <row r="10" spans="1:20" x14ac:dyDescent="0.45">
      <c r="A10" t="s">
        <v>120</v>
      </c>
      <c r="B10">
        <v>17.298068098855499</v>
      </c>
      <c r="C10">
        <v>1.1462439704842699E-2</v>
      </c>
      <c r="D10">
        <v>2.43229929521755E-4</v>
      </c>
      <c r="E10" s="1">
        <v>1.3513347459614601E-8</v>
      </c>
      <c r="F10" s="1">
        <v>-5.4075393226452198E-9</v>
      </c>
      <c r="G10" s="1">
        <v>2.7942158021858399E-9</v>
      </c>
      <c r="H10" s="1">
        <v>4.1922003499601099E-7</v>
      </c>
      <c r="I10" s="2">
        <f t="shared" si="0"/>
        <v>-0.88001128656315764</v>
      </c>
      <c r="J10">
        <f ca="1">_xll.RiskNormal(C10,SQRT(E10),_xll.RiskCorrmat(betacorrelations,17))</f>
        <v>1.1462439704842699E-2</v>
      </c>
      <c r="K10">
        <f ca="1">_xll.RiskNormal(D10,SQRT(G10),_xll.RiskCorrmat(betacorrelations,18))</f>
        <v>2.43229929521755E-4</v>
      </c>
      <c r="L10">
        <f ca="1">_xll.RiskNormal(0,SQRT(H10))</f>
        <v>0</v>
      </c>
      <c r="M10" s="1">
        <f t="shared" si="1"/>
        <v>1.1234595732789772E-2</v>
      </c>
      <c r="N10" s="1">
        <f t="shared" si="2"/>
        <v>1.3962365835211432E-4</v>
      </c>
      <c r="O10" s="1">
        <f t="shared" si="3"/>
        <v>1.1690283676895627E-2</v>
      </c>
      <c r="P10" s="1">
        <f t="shared" si="4"/>
        <v>3.4683620069139568E-4</v>
      </c>
    </row>
    <row r="11" spans="1:20" x14ac:dyDescent="0.45">
      <c r="A11" t="s">
        <v>121</v>
      </c>
      <c r="B11">
        <v>7.7592916119887496</v>
      </c>
      <c r="C11">
        <v>-6.6042937303765004E-3</v>
      </c>
      <c r="D11">
        <v>5.1285372441005404E-4</v>
      </c>
      <c r="E11" s="1">
        <v>2.0132116552298999E-9</v>
      </c>
      <c r="F11" s="1">
        <v>-4.8512362703574297E-10</v>
      </c>
      <c r="G11" s="1">
        <v>1.43880843503035E-10</v>
      </c>
      <c r="H11" s="1">
        <v>1.25290868991649E-7</v>
      </c>
      <c r="I11" s="2">
        <f t="shared" si="0"/>
        <v>-0.90137647869118331</v>
      </c>
      <c r="J11">
        <f ca="1">_xll.RiskNormal(C11,SQRT(E11),_xll.RiskCorrmat(betacorrelations,19))</f>
        <v>-6.6042937303765004E-3</v>
      </c>
      <c r="K11">
        <f ca="1">_xll.RiskNormal(D11,SQRT(G11),_xll.RiskCorrmat(betacorrelations,20))</f>
        <v>5.1285372441005404E-4</v>
      </c>
      <c r="L11">
        <f ca="1">_xll.RiskNormal(0,SQRT(H11))</f>
        <v>0</v>
      </c>
      <c r="M11" s="1">
        <f t="shared" si="1"/>
        <v>-6.6922366317087355E-3</v>
      </c>
      <c r="N11" s="1">
        <f t="shared" si="2"/>
        <v>4.8934345753787114E-4</v>
      </c>
      <c r="O11" s="1">
        <f t="shared" si="3"/>
        <v>-6.5163508290442653E-3</v>
      </c>
      <c r="P11" s="1">
        <f t="shared" si="4"/>
        <v>5.3636399128223695E-4</v>
      </c>
    </row>
    <row r="12" spans="1:20" x14ac:dyDescent="0.45">
      <c r="A12" t="s">
        <v>38</v>
      </c>
      <c r="B12">
        <v>13.587719404930899</v>
      </c>
      <c r="C12">
        <v>-7.9704970488519403E-4</v>
      </c>
      <c r="D12">
        <v>4.6293229298174302E-4</v>
      </c>
      <c r="E12" s="1">
        <v>1.2593113517693501E-10</v>
      </c>
      <c r="F12" s="1">
        <v>-3.7736759336753603E-11</v>
      </c>
      <c r="G12" s="1">
        <v>1.54194824505219E-11</v>
      </c>
      <c r="H12" s="1">
        <v>1.2395751832437799E-8</v>
      </c>
      <c r="I12" s="2">
        <f t="shared" si="0"/>
        <v>-0.85637335155950045</v>
      </c>
      <c r="J12">
        <f ca="1">_xll.RiskNormal(C12,SQRT(E12),_xll.RiskCorrmat(betacorrelations,21))</f>
        <v>-7.9704970488519403E-4</v>
      </c>
      <c r="K12">
        <f ca="1">_xll.RiskNormal(D12,SQRT(G12),_xll.RiskCorrmat(betacorrelations,22))</f>
        <v>4.6293229298174302E-4</v>
      </c>
      <c r="L12">
        <f ca="1">_xll.RiskNormal(0,SQRT(H12))</f>
        <v>0</v>
      </c>
      <c r="M12" s="1">
        <f t="shared" si="1"/>
        <v>-8.1904463723098022E-4</v>
      </c>
      <c r="N12" s="1">
        <f t="shared" si="2"/>
        <v>4.5523583381002484E-4</v>
      </c>
      <c r="O12" s="1">
        <f t="shared" si="3"/>
        <v>-7.7505477253940783E-4</v>
      </c>
      <c r="P12" s="1">
        <f t="shared" si="4"/>
        <v>4.7062875215346121E-4</v>
      </c>
    </row>
    <row r="13" spans="1:20" x14ac:dyDescent="0.45">
      <c r="A13" t="s">
        <v>105</v>
      </c>
      <c r="B13">
        <v>21.133231996816999</v>
      </c>
      <c r="C13">
        <v>8.0147683941754304E-3</v>
      </c>
      <c r="D13">
        <v>3.4085564409501901E-4</v>
      </c>
      <c r="E13" s="1">
        <v>2.5936370685289698E-9</v>
      </c>
      <c r="F13" s="1">
        <v>-8.54532401183256E-10</v>
      </c>
      <c r="G13" s="1">
        <v>3.6875725354496299E-10</v>
      </c>
      <c r="H13" s="1">
        <v>1.5787427600934801E-7</v>
      </c>
      <c r="I13" s="2">
        <f t="shared" si="0"/>
        <v>-0.87378311131998632</v>
      </c>
      <c r="J13">
        <f ca="1">_xll.RiskNormal(C13,SQRT(E13),_xll.RiskCorrmat(betacorrelations,23))</f>
        <v>8.0147683941754304E-3</v>
      </c>
      <c r="K13">
        <f ca="1">_xll.RiskNormal(D13,SQRT(G13),_xll.RiskCorrmat(betacorrelations,24))</f>
        <v>3.4085564409501901E-4</v>
      </c>
      <c r="L13">
        <f ca="1">_xll.RiskNormal(0,SQRT(H13))</f>
        <v>0</v>
      </c>
      <c r="M13" s="1">
        <f t="shared" si="1"/>
        <v>7.914949978226964E-3</v>
      </c>
      <c r="N13" s="1">
        <f t="shared" si="2"/>
        <v>3.0321765975448438E-4</v>
      </c>
      <c r="O13" s="1">
        <f t="shared" si="3"/>
        <v>8.1145868101238968E-3</v>
      </c>
      <c r="P13" s="1">
        <f t="shared" si="4"/>
        <v>3.7849362843555363E-4</v>
      </c>
    </row>
    <row r="14" spans="1:20" x14ac:dyDescent="0.45">
      <c r="A14" t="s">
        <v>14</v>
      </c>
      <c r="B14">
        <v>9.8808487478065903</v>
      </c>
      <c r="C14">
        <v>-3.2905791088696898E-3</v>
      </c>
      <c r="D14">
        <v>4.8400185349515499E-4</v>
      </c>
      <c r="E14" s="1">
        <v>7.0143648005259498E-10</v>
      </c>
      <c r="F14" s="1">
        <v>-2.2197458518089999E-10</v>
      </c>
      <c r="G14" s="1">
        <v>8.8458219024940294E-11</v>
      </c>
      <c r="H14" s="1">
        <v>2.7704554153475801E-8</v>
      </c>
      <c r="I14" s="2">
        <f t="shared" si="0"/>
        <v>-0.89112778101498558</v>
      </c>
      <c r="J14">
        <f ca="1">_xll.RiskNormal(C14,SQRT(E14),_xll.RiskCorrmat(betacorrelations,25))</f>
        <v>-3.2905791088696898E-3</v>
      </c>
      <c r="K14">
        <f ca="1">_xll.RiskNormal(D14,SQRT(G14),_xll.RiskCorrmat(betacorrelations,26))</f>
        <v>4.8400185349515499E-4</v>
      </c>
      <c r="L14">
        <f ca="1">_xll.RiskNormal(0,SQRT(H14))</f>
        <v>0</v>
      </c>
      <c r="M14" s="1">
        <f t="shared" si="1"/>
        <v>-3.3424890152630752E-3</v>
      </c>
      <c r="N14" s="1">
        <f t="shared" si="2"/>
        <v>4.6556761648338231E-4</v>
      </c>
      <c r="O14" s="1">
        <f t="shared" si="3"/>
        <v>-3.2386692024763044E-3</v>
      </c>
      <c r="P14" s="1">
        <f t="shared" si="4"/>
        <v>5.0243609050692768E-4</v>
      </c>
    </row>
    <row r="15" spans="1:20" x14ac:dyDescent="0.45">
      <c r="A15" t="s">
        <v>8</v>
      </c>
      <c r="B15">
        <v>27.5587615956976</v>
      </c>
      <c r="C15">
        <v>1.4732970182805401E-2</v>
      </c>
      <c r="D15">
        <v>3.4415464837466499E-4</v>
      </c>
      <c r="E15" s="1">
        <v>2.67674544259226E-8</v>
      </c>
      <c r="F15" s="1">
        <v>-8.4333332079493104E-9</v>
      </c>
      <c r="G15" s="1">
        <v>3.5142340431982099E-9</v>
      </c>
      <c r="H15" s="1">
        <v>9.5897254660999204E-7</v>
      </c>
      <c r="I15" s="2">
        <f t="shared" si="0"/>
        <v>-0.86952161677438922</v>
      </c>
      <c r="J15">
        <f ca="1">_xll.RiskNormal(C15,SQRT(E15),_xll.RiskCorrmat(betacorrelations,27))</f>
        <v>1.4732970182805401E-2</v>
      </c>
      <c r="K15">
        <f ca="1">_xll.RiskNormal(D15,SQRT(G15),_xll.RiskCorrmat(betacorrelations,28))</f>
        <v>3.4415464837466499E-4</v>
      </c>
      <c r="L15">
        <f ca="1">_xll.RiskNormal(0,SQRT(H15))</f>
        <v>0</v>
      </c>
      <c r="M15" s="1">
        <f t="shared" si="1"/>
        <v>1.4412299240993355E-2</v>
      </c>
      <c r="N15" s="1">
        <f t="shared" si="2"/>
        <v>2.2796393661012575E-4</v>
      </c>
      <c r="O15" s="1">
        <f t="shared" si="3"/>
        <v>1.5053641124617446E-2</v>
      </c>
      <c r="P15" s="1">
        <f t="shared" si="4"/>
        <v>4.6034536013920424E-4</v>
      </c>
    </row>
    <row r="16" spans="1:20" x14ac:dyDescent="0.45">
      <c r="A16" t="s">
        <v>99</v>
      </c>
      <c r="B16">
        <v>28.222708166255899</v>
      </c>
      <c r="C16">
        <v>1.4678060163561501E-2</v>
      </c>
      <c r="D16">
        <v>2.40888382116261E-4</v>
      </c>
      <c r="E16" s="1">
        <v>1.3336132047846501E-8</v>
      </c>
      <c r="F16" s="1">
        <v>-3.7743716970611404E-9</v>
      </c>
      <c r="G16" s="1">
        <v>1.3764115151402799E-9</v>
      </c>
      <c r="H16" s="1">
        <v>9.1817971089741197E-7</v>
      </c>
      <c r="I16" s="2">
        <f t="shared" si="0"/>
        <v>-0.88095875255309464</v>
      </c>
      <c r="J16">
        <f ca="1">_xll.RiskNormal(C16,SQRT(E16),_xll.RiskCorrmat(betacorrelations,29))</f>
        <v>1.4678060163561501E-2</v>
      </c>
      <c r="K16">
        <f ca="1">_xll.RiskNormal(D16,SQRT(G16),_xll.RiskCorrmat(betacorrelations,30))</f>
        <v>2.40888382116261E-4</v>
      </c>
      <c r="L16">
        <f ca="1">_xll.RiskNormal(0,SQRT(H16))</f>
        <v>0</v>
      </c>
      <c r="M16" s="1">
        <f t="shared" si="1"/>
        <v>1.4451715106458398E-2</v>
      </c>
      <c r="N16" s="1">
        <f t="shared" si="2"/>
        <v>1.681723420936986E-4</v>
      </c>
      <c r="O16" s="1">
        <f t="shared" si="3"/>
        <v>1.4904405220664604E-2</v>
      </c>
      <c r="P16" s="1">
        <f t="shared" si="4"/>
        <v>3.136044221388234E-4</v>
      </c>
    </row>
    <row r="17" spans="1:16" x14ac:dyDescent="0.45">
      <c r="A17" t="s">
        <v>193</v>
      </c>
      <c r="B17">
        <v>25.689963682875199</v>
      </c>
      <c r="C17">
        <v>1.2396274891517E-2</v>
      </c>
      <c r="D17">
        <v>3.07578621745001E-4</v>
      </c>
      <c r="E17" s="1">
        <v>8.2966415523907593E-9</v>
      </c>
      <c r="F17" s="1">
        <v>-2.7380692511404699E-9</v>
      </c>
      <c r="G17" s="1">
        <v>1.1675536034510499E-9</v>
      </c>
      <c r="H17" s="1">
        <v>3.6710832825961399E-7</v>
      </c>
      <c r="I17" s="2">
        <f t="shared" si="0"/>
        <v>-0.87974103568042716</v>
      </c>
      <c r="J17">
        <f ca="1">_xll.RiskNormal(C17,SQRT(E17),_xll.RiskCorrmat(betacorrelations,31))</f>
        <v>1.2396274891517E-2</v>
      </c>
      <c r="K17">
        <f ca="1">_xll.RiskNormal(D17,SQRT(G17),_xll.RiskCorrmat(betacorrelations,32))</f>
        <v>3.07578621745001E-4</v>
      </c>
      <c r="L17">
        <f ca="1">_xll.RiskNormal(0,SQRT(H17))</f>
        <v>0</v>
      </c>
      <c r="M17" s="1">
        <f t="shared" si="1"/>
        <v>1.2217746523497617E-2</v>
      </c>
      <c r="N17" s="1">
        <f t="shared" si="2"/>
        <v>2.4060643406222066E-4</v>
      </c>
      <c r="O17" s="1">
        <f t="shared" si="3"/>
        <v>1.2574803259536383E-2</v>
      </c>
      <c r="P17" s="1">
        <f t="shared" si="4"/>
        <v>3.7455080942778134E-4</v>
      </c>
    </row>
    <row r="18" spans="1:16" x14ac:dyDescent="0.45">
      <c r="A18" t="s">
        <v>194</v>
      </c>
      <c r="B18">
        <v>10.768594388799601</v>
      </c>
      <c r="C18">
        <v>-2.2243812662242801E-3</v>
      </c>
      <c r="D18">
        <v>4.8771745778219202E-4</v>
      </c>
      <c r="E18" s="1">
        <v>3.7486614527211498E-10</v>
      </c>
      <c r="F18" s="1">
        <v>-1.02420319458188E-10</v>
      </c>
      <c r="G18" s="1">
        <v>3.6292211199724402E-11</v>
      </c>
      <c r="H18" s="1">
        <v>2.9318941672049801E-8</v>
      </c>
      <c r="I18" s="2">
        <f t="shared" si="0"/>
        <v>-0.8780945893552683</v>
      </c>
      <c r="J18">
        <f ca="1">_xll.RiskNormal(C18,SQRT(E18),_xll.RiskCorrmat(betacorrelations,33))</f>
        <v>-2.2243812662242801E-3</v>
      </c>
      <c r="K18">
        <f ca="1">_xll.RiskNormal(D18,SQRT(G18),_xll.RiskCorrmat(betacorrelations,34))</f>
        <v>4.8771745778219202E-4</v>
      </c>
      <c r="L18">
        <f ca="1">_xll.RiskNormal(0,SQRT(H18))</f>
        <v>0</v>
      </c>
      <c r="M18" s="1">
        <f t="shared" si="1"/>
        <v>-2.2623297284286616E-3</v>
      </c>
      <c r="N18" s="1">
        <f t="shared" si="2"/>
        <v>4.7590982641324838E-4</v>
      </c>
      <c r="O18" s="1">
        <f t="shared" si="3"/>
        <v>-2.1864328040198987E-3</v>
      </c>
      <c r="P18" s="1">
        <f t="shared" si="4"/>
        <v>4.995250891511356E-4</v>
      </c>
    </row>
    <row r="19" spans="1:16" x14ac:dyDescent="0.45">
      <c r="A19" t="s">
        <v>148</v>
      </c>
      <c r="B19">
        <v>27.668533821205301</v>
      </c>
      <c r="C19">
        <v>1.3913945104865801E-2</v>
      </c>
      <c r="D19">
        <v>4.3905122846169399E-4</v>
      </c>
      <c r="E19" s="1">
        <v>1.03219270695297E-8</v>
      </c>
      <c r="F19" s="1">
        <v>-2.9315073247463301E-9</v>
      </c>
      <c r="G19" s="1">
        <v>1.1064402598129601E-9</v>
      </c>
      <c r="H19" s="1">
        <v>1.1053270561450001E-6</v>
      </c>
      <c r="I19" s="2">
        <f t="shared" si="0"/>
        <v>-0.86745430279586433</v>
      </c>
      <c r="J19">
        <f ca="1">_xll.RiskNormal(C19,SQRT(E19),_xll.RiskCorrmat(betacorrelations,35))</f>
        <v>1.3913945104865801E-2</v>
      </c>
      <c r="K19">
        <f ca="1">_xll.RiskNormal(D19,SQRT(G19),_xll.RiskCorrmat(betacorrelations,36))</f>
        <v>4.3905122846169399E-4</v>
      </c>
      <c r="L19">
        <f ca="1">_xll.RiskNormal(0,SQRT(H19))</f>
        <v>0</v>
      </c>
      <c r="M19" s="1">
        <f t="shared" si="1"/>
        <v>1.3714815209997388E-2</v>
      </c>
      <c r="N19" s="1">
        <f t="shared" si="2"/>
        <v>3.7385536277914118E-4</v>
      </c>
      <c r="O19" s="1">
        <f t="shared" si="3"/>
        <v>1.4113074999734214E-2</v>
      </c>
      <c r="P19" s="1">
        <f t="shared" si="4"/>
        <v>5.0424709414424685E-4</v>
      </c>
    </row>
    <row r="20" spans="1:16" x14ac:dyDescent="0.45">
      <c r="A20" t="s">
        <v>147</v>
      </c>
      <c r="B20">
        <v>25.431257546229599</v>
      </c>
      <c r="C20">
        <v>1.17567651367476E-2</v>
      </c>
      <c r="D20">
        <v>3.4679387627332601E-4</v>
      </c>
      <c r="E20" s="1">
        <v>2.10376629240555E-8</v>
      </c>
      <c r="F20" s="1">
        <v>-8.4871721284473207E-9</v>
      </c>
      <c r="G20" s="1">
        <v>4.4168071287977302E-9</v>
      </c>
      <c r="H20" s="1">
        <v>6.4903302690412096E-7</v>
      </c>
      <c r="I20" s="2">
        <f t="shared" si="0"/>
        <v>-0.88046084351812093</v>
      </c>
      <c r="J20">
        <f ca="1">_xll.RiskNormal(C20,SQRT(E20),_xll.RiskCorrmat(betacorrelations,37))</f>
        <v>1.17567651367476E-2</v>
      </c>
      <c r="K20">
        <f ca="1">_xll.RiskNormal(D20,SQRT(G20),_xll.RiskCorrmat(betacorrelations,38))</f>
        <v>3.4679387627332601E-4</v>
      </c>
      <c r="L20">
        <f ca="1">_xll.RiskNormal(0,SQRT(H20))</f>
        <v>0</v>
      </c>
      <c r="M20" s="1">
        <f t="shared" si="1"/>
        <v>1.1472479565729563E-2</v>
      </c>
      <c r="N20" s="1">
        <f t="shared" si="2"/>
        <v>2.1653411170272132E-4</v>
      </c>
      <c r="O20" s="1">
        <f t="shared" si="3"/>
        <v>1.2041050707765637E-2</v>
      </c>
      <c r="P20" s="1">
        <f t="shared" si="4"/>
        <v>4.7705364084393072E-4</v>
      </c>
    </row>
    <row r="21" spans="1:16" x14ac:dyDescent="0.45">
      <c r="A21" t="s">
        <v>55</v>
      </c>
      <c r="B21">
        <v>9.4898884555908705</v>
      </c>
      <c r="C21">
        <v>-3.5971756384312399E-3</v>
      </c>
      <c r="D21">
        <v>4.8991873432083298E-4</v>
      </c>
      <c r="E21" s="1">
        <v>6.4022959817909997E-10</v>
      </c>
      <c r="F21" s="1">
        <v>-1.6704647341631799E-10</v>
      </c>
      <c r="G21" s="1">
        <v>5.5299338144786003E-11</v>
      </c>
      <c r="H21" s="1">
        <v>3.7286471433922798E-8</v>
      </c>
      <c r="I21" s="2">
        <f t="shared" si="0"/>
        <v>-0.88778840951297588</v>
      </c>
      <c r="J21">
        <f ca="1">_xll.RiskNormal(C21,SQRT(E21),_xll.RiskCorrmat(betacorrelations,39))</f>
        <v>-3.5971756384312399E-3</v>
      </c>
      <c r="K21">
        <f ca="1">_xll.RiskNormal(D21,SQRT(G21),_xll.RiskCorrmat(betacorrelations,40))</f>
        <v>4.8991873432083298E-4</v>
      </c>
      <c r="L21">
        <f ca="1">_xll.RiskNormal(0,SQRT(H21))</f>
        <v>0</v>
      </c>
      <c r="M21" s="1">
        <f t="shared" si="1"/>
        <v>-3.6467690454967446E-3</v>
      </c>
      <c r="N21" s="1">
        <f t="shared" si="2"/>
        <v>4.7534348346820577E-4</v>
      </c>
      <c r="O21" s="1">
        <f t="shared" si="3"/>
        <v>-3.5475822313657352E-3</v>
      </c>
      <c r="P21" s="1">
        <f t="shared" si="4"/>
        <v>5.0449398517346013E-4</v>
      </c>
    </row>
    <row r="22" spans="1:16" x14ac:dyDescent="0.45">
      <c r="A22" t="s">
        <v>133</v>
      </c>
      <c r="B22">
        <v>6.5023163239442301</v>
      </c>
      <c r="C22">
        <v>-6.2897135363540503E-3</v>
      </c>
      <c r="D22">
        <v>4.8283921891038802E-4</v>
      </c>
      <c r="E22" s="1">
        <v>3.3924225335077302E-9</v>
      </c>
      <c r="F22" s="1">
        <v>-7.2973935882462996E-10</v>
      </c>
      <c r="G22" s="1">
        <v>1.8855224617478301E-10</v>
      </c>
      <c r="H22" s="1">
        <v>2.12488424546751E-7</v>
      </c>
      <c r="I22" s="2">
        <f t="shared" si="0"/>
        <v>-0.91242451613936681</v>
      </c>
      <c r="J22">
        <f ca="1">_xll.RiskNormal(C22,SQRT(E22),_xll.RiskCorrmat(betacorrelations,41))</f>
        <v>-6.2897135363540503E-3</v>
      </c>
      <c r="K22">
        <f ca="1">_xll.RiskNormal(D22,SQRT(G22),_xll.RiskCorrmat(betacorrelations,42))</f>
        <v>4.8283921891038802E-4</v>
      </c>
      <c r="L22">
        <f ca="1">_xll.RiskNormal(0,SQRT(H22))</f>
        <v>0</v>
      </c>
      <c r="M22" s="1">
        <f t="shared" si="1"/>
        <v>-6.4038727690280805E-3</v>
      </c>
      <c r="N22" s="1">
        <f t="shared" si="2"/>
        <v>4.559256106627924E-4</v>
      </c>
      <c r="O22" s="1">
        <f t="shared" si="3"/>
        <v>-6.1755543036800201E-3</v>
      </c>
      <c r="P22" s="1">
        <f t="shared" si="4"/>
        <v>5.0975282715798364E-4</v>
      </c>
    </row>
    <row r="23" spans="1:16" x14ac:dyDescent="0.45">
      <c r="A23" t="s">
        <v>132</v>
      </c>
      <c r="B23">
        <v>25.623235525960599</v>
      </c>
      <c r="C23">
        <v>1.20418960463025E-2</v>
      </c>
      <c r="D23">
        <v>3.7555967835799199E-4</v>
      </c>
      <c r="E23" s="1">
        <v>8.3595601836994205E-9</v>
      </c>
      <c r="F23" s="1">
        <v>-2.96224635321458E-9</v>
      </c>
      <c r="G23" s="1">
        <v>1.3709580963575501E-9</v>
      </c>
      <c r="H23" s="1">
        <v>4.7624012640008401E-7</v>
      </c>
      <c r="I23" s="2">
        <f t="shared" si="0"/>
        <v>-0.87501876920266242</v>
      </c>
      <c r="J23">
        <f ca="1">_xll.RiskNormal(C23,SQRT(E23),_xll.RiskCorrmat(betacorrelations,43))</f>
        <v>1.20418960463025E-2</v>
      </c>
      <c r="K23">
        <f ca="1">_xll.RiskNormal(D23,SQRT(G23),_xll.RiskCorrmat(betacorrelations,44))</f>
        <v>3.7555967835799199E-4</v>
      </c>
      <c r="L23">
        <f ca="1">_xll.RiskNormal(0,SQRT(H23))</f>
        <v>0</v>
      </c>
      <c r="M23" s="1">
        <f t="shared" si="1"/>
        <v>1.1862692010628914E-2</v>
      </c>
      <c r="N23" s="1">
        <f t="shared" si="2"/>
        <v>3.0298783379712141E-4</v>
      </c>
      <c r="O23" s="1">
        <f t="shared" si="3"/>
        <v>1.2221100081976086E-2</v>
      </c>
      <c r="P23" s="1">
        <f t="shared" si="4"/>
        <v>4.4813152291886256E-4</v>
      </c>
    </row>
    <row r="24" spans="1:16" x14ac:dyDescent="0.45">
      <c r="A24" t="s">
        <v>45</v>
      </c>
      <c r="B24">
        <v>23.338395149834799</v>
      </c>
      <c r="C24">
        <v>9.6417956411086903E-3</v>
      </c>
      <c r="D24">
        <v>3.4331064690760202E-4</v>
      </c>
      <c r="E24" s="1">
        <v>1.3236414741611299E-8</v>
      </c>
      <c r="F24" s="1">
        <v>-5.0778222360907202E-9</v>
      </c>
      <c r="G24" s="1">
        <v>2.4670096922344301E-9</v>
      </c>
      <c r="H24" s="1">
        <v>4.4300075725346199E-7</v>
      </c>
      <c r="I24" s="2">
        <f t="shared" si="0"/>
        <v>-0.88860117238487202</v>
      </c>
      <c r="J24">
        <f ca="1">_xll.RiskNormal(C24,SQRT(E24),_xll.RiskCorrmat(betacorrelations,45))</f>
        <v>9.6417956411086903E-3</v>
      </c>
      <c r="K24">
        <f ca="1">_xll.RiskNormal(D24,SQRT(G24),_xll.RiskCorrmat(betacorrelations,46))</f>
        <v>3.4331064690760202E-4</v>
      </c>
      <c r="L24">
        <f ca="1">_xll.RiskNormal(0,SQRT(H24))</f>
        <v>0</v>
      </c>
      <c r="M24" s="1">
        <f t="shared" si="1"/>
        <v>9.4162983886390116E-3</v>
      </c>
      <c r="N24" s="1">
        <f t="shared" si="2"/>
        <v>2.4595940431826585E-4</v>
      </c>
      <c r="O24" s="1">
        <f t="shared" si="3"/>
        <v>9.867292893578369E-3</v>
      </c>
      <c r="P24" s="1">
        <f t="shared" si="4"/>
        <v>4.406618894969382E-4</v>
      </c>
    </row>
    <row r="25" spans="1:16" x14ac:dyDescent="0.45">
      <c r="A25" t="s">
        <v>35</v>
      </c>
      <c r="B25">
        <v>16.435311606977301</v>
      </c>
      <c r="C25">
        <v>8.7896419347862909E-3</v>
      </c>
      <c r="D25">
        <v>4.1640226925181801E-4</v>
      </c>
      <c r="E25" s="1">
        <v>4.75420506003985E-9</v>
      </c>
      <c r="F25" s="1">
        <v>-1.34148544757651E-9</v>
      </c>
      <c r="G25" s="1">
        <v>4.97796594558591E-10</v>
      </c>
      <c r="H25" s="1">
        <v>3.4566239764003901E-7</v>
      </c>
      <c r="I25" s="2">
        <f t="shared" si="0"/>
        <v>-0.87200916646126614</v>
      </c>
      <c r="J25">
        <f ca="1">_xll.RiskNormal(C25,SQRT(E25),_xll.RiskCorrmat(betacorrelations,47))</f>
        <v>8.7896419347862909E-3</v>
      </c>
      <c r="K25">
        <f ca="1">_xll.RiskNormal(D25,SQRT(G25),_xll.RiskCorrmat(betacorrelations,48))</f>
        <v>4.1640226925181801E-4</v>
      </c>
      <c r="L25">
        <f ca="1">_xll.RiskNormal(0,SQRT(H25))</f>
        <v>0</v>
      </c>
      <c r="M25" s="1">
        <f t="shared" si="1"/>
        <v>8.6544984770880028E-3</v>
      </c>
      <c r="N25" s="1">
        <f t="shared" si="2"/>
        <v>3.7267201201891023E-4</v>
      </c>
      <c r="O25" s="1">
        <f t="shared" si="3"/>
        <v>8.9247853924845789E-3</v>
      </c>
      <c r="P25" s="1">
        <f t="shared" si="4"/>
        <v>4.601325264847258E-4</v>
      </c>
    </row>
    <row r="26" spans="1:16" x14ac:dyDescent="0.45">
      <c r="A26" t="s">
        <v>170</v>
      </c>
      <c r="B26">
        <v>23.5479479278839</v>
      </c>
      <c r="C26">
        <v>1.4440060201884399E-2</v>
      </c>
      <c r="D26">
        <v>3.3521211798830602E-4</v>
      </c>
      <c r="E26" s="1">
        <v>1.8313218235979299E-8</v>
      </c>
      <c r="F26" s="1">
        <v>-6.1915413560103501E-9</v>
      </c>
      <c r="G26" s="1">
        <v>2.71201293705051E-9</v>
      </c>
      <c r="H26" s="1">
        <v>1.0086958756898001E-6</v>
      </c>
      <c r="I26" s="2">
        <f t="shared" si="0"/>
        <v>-0.87855825593564552</v>
      </c>
      <c r="J26">
        <f ca="1">_xll.RiskNormal(C26,SQRT(E26),_xll.RiskCorrmat(betacorrelations,49))</f>
        <v>1.4440060201884399E-2</v>
      </c>
      <c r="K26">
        <f ca="1">_xll.RiskNormal(D26,SQRT(G26),_xll.RiskCorrmat(betacorrelations,50))</f>
        <v>3.3521211798830602E-4</v>
      </c>
      <c r="L26">
        <f ca="1">_xll.RiskNormal(0,SQRT(H26))</f>
        <v>0</v>
      </c>
      <c r="M26" s="1">
        <f t="shared" si="1"/>
        <v>1.4174820575932058E-2</v>
      </c>
      <c r="N26" s="1">
        <f t="shared" si="2"/>
        <v>2.3314121665509921E-4</v>
      </c>
      <c r="O26" s="1">
        <f t="shared" si="3"/>
        <v>1.470529982783674E-2</v>
      </c>
      <c r="P26" s="1">
        <f t="shared" si="4"/>
        <v>4.3728301932151282E-4</v>
      </c>
    </row>
    <row r="27" spans="1:16" x14ac:dyDescent="0.45">
      <c r="A27" t="s">
        <v>169</v>
      </c>
      <c r="B27">
        <v>26.955252740349099</v>
      </c>
      <c r="C27">
        <v>1.29892251662851E-2</v>
      </c>
      <c r="D27">
        <v>4.8593874689348499E-4</v>
      </c>
      <c r="E27" s="1">
        <v>2.2152090706607498E-8</v>
      </c>
      <c r="F27" s="1">
        <v>-9.1798695636089896E-9</v>
      </c>
      <c r="G27" s="1">
        <v>5.1252863524667997E-9</v>
      </c>
      <c r="H27" s="1">
        <v>8.6133453989087595E-7</v>
      </c>
      <c r="I27" s="2">
        <f t="shared" si="0"/>
        <v>-0.86152936036179784</v>
      </c>
      <c r="J27">
        <f ca="1">_xll.RiskNormal(C27,SQRT(E27),_xll.RiskCorrmat(betacorrelations,51))</f>
        <v>1.29892251662851E-2</v>
      </c>
      <c r="K27">
        <f ca="1">_xll.RiskNormal(D27,SQRT(G27),_xll.RiskCorrmat(betacorrelations,52))</f>
        <v>4.8593874689348499E-4</v>
      </c>
      <c r="L27">
        <f ca="1">_xll.RiskNormal(0,SQRT(H27))</f>
        <v>0</v>
      </c>
      <c r="M27" s="1">
        <f t="shared" si="1"/>
        <v>1.2697507028935871E-2</v>
      </c>
      <c r="N27" s="1">
        <f t="shared" si="2"/>
        <v>3.4562018058226424E-4</v>
      </c>
      <c r="O27" s="1">
        <f t="shared" si="3"/>
        <v>1.3280943303634329E-2</v>
      </c>
      <c r="P27" s="1">
        <f t="shared" si="4"/>
        <v>6.2625731320470573E-4</v>
      </c>
    </row>
    <row r="28" spans="1:16" x14ac:dyDescent="0.45">
      <c r="A28" t="s">
        <v>168</v>
      </c>
      <c r="B28">
        <v>27.467401224135699</v>
      </c>
      <c r="C28">
        <v>1.3638567066296899E-2</v>
      </c>
      <c r="D28">
        <v>3.1381145611237101E-4</v>
      </c>
      <c r="E28" s="1">
        <v>9.4028615694871705E-9</v>
      </c>
      <c r="F28" s="1">
        <v>-3.6683358123491701E-9</v>
      </c>
      <c r="G28" s="1">
        <v>1.87779738095126E-9</v>
      </c>
      <c r="H28" s="1">
        <v>3.6456952734269499E-7</v>
      </c>
      <c r="I28" s="2">
        <f t="shared" si="0"/>
        <v>-0.87300091715176853</v>
      </c>
      <c r="J28">
        <f ca="1">_xll.RiskNormal(C28,SQRT(E28),_xll.RiskCorrmat(betacorrelations,53))</f>
        <v>1.3638567066296899E-2</v>
      </c>
      <c r="K28">
        <f ca="1">_xll.RiskNormal(D28,SQRT(G28),_xll.RiskCorrmat(betacorrelations,54))</f>
        <v>3.1381145611237101E-4</v>
      </c>
      <c r="L28">
        <f ca="1">_xll.RiskNormal(0,SQRT(H28))</f>
        <v>0</v>
      </c>
      <c r="M28" s="1">
        <f t="shared" si="1"/>
        <v>1.3448509093548208E-2</v>
      </c>
      <c r="N28" s="1">
        <f t="shared" si="2"/>
        <v>2.2887767944688674E-4</v>
      </c>
      <c r="O28" s="1">
        <f t="shared" si="3"/>
        <v>1.382862503904559E-2</v>
      </c>
      <c r="P28" s="1">
        <f t="shared" si="4"/>
        <v>3.9874523277785531E-4</v>
      </c>
    </row>
    <row r="29" spans="1:16" x14ac:dyDescent="0.45">
      <c r="A29" t="s">
        <v>164</v>
      </c>
      <c r="B29">
        <v>12.7732549110685</v>
      </c>
      <c r="C29">
        <v>-2.05176115020856E-3</v>
      </c>
      <c r="D29">
        <v>4.7720339692677898E-4</v>
      </c>
      <c r="E29" s="1">
        <v>3.8259185285033798E-10</v>
      </c>
      <c r="F29" s="1">
        <v>-1.1684612015882801E-10</v>
      </c>
      <c r="G29" s="1">
        <v>4.7243948045499103E-11</v>
      </c>
      <c r="H29" s="1">
        <v>8.0601241337401998E-9</v>
      </c>
      <c r="I29" s="2">
        <f t="shared" si="0"/>
        <v>-0.86910719621423582</v>
      </c>
      <c r="J29">
        <f ca="1">_xll.RiskNormal(C29,SQRT(E29),_xll.RiskCorrmat(betacorrelations,55))</f>
        <v>-2.05176115020856E-3</v>
      </c>
      <c r="K29">
        <f ca="1">_xll.RiskNormal(D29,SQRT(G29),_xll.RiskCorrmat(betacorrelations,56))</f>
        <v>4.7720339692677898E-4</v>
      </c>
      <c r="L29">
        <f ca="1">_xll.RiskNormal(0,SQRT(H29))</f>
        <v>0</v>
      </c>
      <c r="M29" s="1">
        <f t="shared" si="1"/>
        <v>-2.0900986626723318E-3</v>
      </c>
      <c r="N29" s="1">
        <f t="shared" si="2"/>
        <v>4.63731487232471E-4</v>
      </c>
      <c r="O29" s="1">
        <f t="shared" si="3"/>
        <v>-2.0134236377447883E-3</v>
      </c>
      <c r="P29" s="1">
        <f t="shared" si="4"/>
        <v>4.9067530662108691E-4</v>
      </c>
    </row>
    <row r="30" spans="1:16" x14ac:dyDescent="0.45">
      <c r="A30" t="s">
        <v>62</v>
      </c>
      <c r="B30">
        <v>22.2309651385861</v>
      </c>
      <c r="C30">
        <v>9.4890158869827806E-3</v>
      </c>
      <c r="D30">
        <v>3.8748853372715401E-4</v>
      </c>
      <c r="E30" s="1">
        <v>1.0279611922930699E-8</v>
      </c>
      <c r="F30" s="1">
        <v>-2.5746570881299898E-9</v>
      </c>
      <c r="G30" s="1">
        <v>8.1890361285455799E-10</v>
      </c>
      <c r="H30" s="1">
        <v>9.2454690043455404E-7</v>
      </c>
      <c r="I30" s="2">
        <f t="shared" si="0"/>
        <v>-0.88739022689765468</v>
      </c>
      <c r="J30">
        <f ca="1">_xll.RiskNormal(C30,SQRT(E30),_xll.RiskCorrmat(betacorrelations,57))</f>
        <v>9.4890158869827806E-3</v>
      </c>
      <c r="K30">
        <f ca="1">_xll.RiskNormal(D30,SQRT(G30),_xll.RiskCorrmat(betacorrelations,58))</f>
        <v>3.8748853372715401E-4</v>
      </c>
      <c r="L30">
        <f ca="1">_xll.RiskNormal(0,SQRT(H30))</f>
        <v>0</v>
      </c>
      <c r="M30" s="1">
        <f t="shared" si="1"/>
        <v>9.290294581725568E-3</v>
      </c>
      <c r="N30" s="1">
        <f t="shared" si="2"/>
        <v>3.3140020945960193E-4</v>
      </c>
      <c r="O30" s="1">
        <f t="shared" si="3"/>
        <v>9.6877371922399931E-3</v>
      </c>
      <c r="P30" s="1">
        <f t="shared" si="4"/>
        <v>4.435768579947061E-4</v>
      </c>
    </row>
    <row r="31" spans="1:16" x14ac:dyDescent="0.45">
      <c r="A31" t="s">
        <v>88</v>
      </c>
      <c r="B31">
        <v>25.7704274308851</v>
      </c>
      <c r="C31">
        <v>1.2500900393263599E-2</v>
      </c>
      <c r="D31">
        <v>2.40631599406195E-4</v>
      </c>
      <c r="E31" s="1">
        <v>7.7077364787255307E-9</v>
      </c>
      <c r="F31" s="1">
        <v>-2.3591807334296301E-9</v>
      </c>
      <c r="G31" s="1">
        <v>9.3764634965734605E-10</v>
      </c>
      <c r="H31" s="1">
        <v>4.44961017602644E-7</v>
      </c>
      <c r="I31" s="2">
        <f t="shared" si="0"/>
        <v>-0.87756289100735874</v>
      </c>
      <c r="J31">
        <f ca="1">_xll.RiskNormal(C31,SQRT(E31),_xll.RiskCorrmat(betacorrelations,59))</f>
        <v>1.2500900393263599E-2</v>
      </c>
      <c r="K31">
        <f ca="1">_xll.RiskNormal(D31,SQRT(G31),_xll.RiskCorrmat(betacorrelations,60))</f>
        <v>2.40631599406195E-4</v>
      </c>
      <c r="L31">
        <f ca="1">_xll.RiskNormal(0,SQRT(H31))</f>
        <v>0</v>
      </c>
      <c r="M31" s="1">
        <f t="shared" si="1"/>
        <v>1.2328824710912281E-2</v>
      </c>
      <c r="N31" s="1">
        <f t="shared" si="2"/>
        <v>1.8061441672620194E-4</v>
      </c>
      <c r="O31" s="1">
        <f t="shared" si="3"/>
        <v>1.2672976075614918E-2</v>
      </c>
      <c r="P31" s="1">
        <f t="shared" si="4"/>
        <v>3.0064878208618806E-4</v>
      </c>
    </row>
    <row r="32" spans="1:16" x14ac:dyDescent="0.45">
      <c r="A32" t="s">
        <v>87</v>
      </c>
      <c r="B32">
        <v>5.9065303568329099</v>
      </c>
      <c r="C32">
        <v>-2.1679076246898001E-2</v>
      </c>
      <c r="D32">
        <v>5.9482117191048296E-4</v>
      </c>
      <c r="E32" s="1">
        <v>8.4683957450901097E-8</v>
      </c>
      <c r="F32" s="1">
        <v>-1.81166037022596E-8</v>
      </c>
      <c r="G32" s="1">
        <v>4.8600082273346403E-9</v>
      </c>
      <c r="H32" s="1">
        <v>6.0592570927173797E-6</v>
      </c>
      <c r="I32" s="2">
        <f t="shared" si="0"/>
        <v>-0.89301285253503193</v>
      </c>
      <c r="J32">
        <f ca="1">_xll.RiskNormal(C32,SQRT(E32),_xll.RiskCorrmat(betacorrelations,61))</f>
        <v>-2.1679076246898001E-2</v>
      </c>
      <c r="K32">
        <f ca="1">_xll.RiskNormal(D32,SQRT(G32),_xll.RiskCorrmat(betacorrelations,62))</f>
        <v>5.9482117191048296E-4</v>
      </c>
      <c r="L32">
        <f ca="1">_xll.RiskNormal(0,SQRT(H32))</f>
        <v>0</v>
      </c>
      <c r="M32" s="1">
        <f t="shared" si="1"/>
        <v>-2.2249446206611328E-2</v>
      </c>
      <c r="N32" s="1">
        <f t="shared" si="2"/>
        <v>4.5818220380061778E-4</v>
      </c>
      <c r="O32" s="1">
        <f t="shared" si="3"/>
        <v>-2.1108706287184673E-2</v>
      </c>
      <c r="P32" s="1">
        <f t="shared" si="4"/>
        <v>7.3146014002034815E-4</v>
      </c>
    </row>
    <row r="33" spans="1:16" x14ac:dyDescent="0.45">
      <c r="A33" t="s">
        <v>159</v>
      </c>
      <c r="B33">
        <v>7.6891147935458504</v>
      </c>
      <c r="C33">
        <v>-7.6990085300073499E-3</v>
      </c>
      <c r="D33">
        <v>5.3414006080594102E-4</v>
      </c>
      <c r="E33" s="1">
        <v>2.7710385131659E-9</v>
      </c>
      <c r="F33" s="1">
        <v>-6.7810383167073699E-10</v>
      </c>
      <c r="G33" s="1">
        <v>2.0539732328527001E-10</v>
      </c>
      <c r="H33" s="1">
        <v>1.6255234268733199E-7</v>
      </c>
      <c r="I33" s="2">
        <f t="shared" si="0"/>
        <v>-0.89882993448204129</v>
      </c>
      <c r="J33">
        <f ca="1">_xll.RiskNormal(C33,SQRT(E33),_xll.RiskCorrmat(betacorrelations,63))</f>
        <v>-7.6990085300073499E-3</v>
      </c>
      <c r="K33">
        <f ca="1">_xll.RiskNormal(D33,SQRT(G33),_xll.RiskCorrmat(betacorrelations,64))</f>
        <v>5.3414006080594102E-4</v>
      </c>
      <c r="L33">
        <f ca="1">_xll.RiskNormal(0,SQRT(H33))</f>
        <v>0</v>
      </c>
      <c r="M33" s="1">
        <f t="shared" si="1"/>
        <v>-7.8021842129572493E-3</v>
      </c>
      <c r="N33" s="1">
        <f t="shared" si="2"/>
        <v>5.0604994942964542E-4</v>
      </c>
      <c r="O33" s="1">
        <f t="shared" si="3"/>
        <v>-7.5958328470574505E-3</v>
      </c>
      <c r="P33" s="1">
        <f t="shared" si="4"/>
        <v>5.6223017218223661E-4</v>
      </c>
    </row>
    <row r="34" spans="1:16" x14ac:dyDescent="0.45">
      <c r="A34" t="s">
        <v>160</v>
      </c>
      <c r="B34">
        <v>12.6307045029726</v>
      </c>
      <c r="C34">
        <v>-3.7235337607030702E-3</v>
      </c>
      <c r="D34">
        <v>3.9580568970140899E-4</v>
      </c>
      <c r="E34" s="1">
        <v>2.1040413034451701E-9</v>
      </c>
      <c r="F34" s="1">
        <v>-7.6511628622488795E-10</v>
      </c>
      <c r="G34" s="1">
        <v>3.60849773959712E-10</v>
      </c>
      <c r="H34" s="1">
        <v>2.2124232748191301E-8</v>
      </c>
      <c r="I34" s="2">
        <f t="shared" si="0"/>
        <v>-0.87808608941163724</v>
      </c>
      <c r="J34">
        <f ca="1">_xll.RiskNormal(C34,SQRT(E34),_xll.RiskCorrmat(betacorrelations,65))</f>
        <v>-3.7235337607030702E-3</v>
      </c>
      <c r="K34">
        <f ca="1">_xll.RiskNormal(D34,SQRT(G34),_xll.RiskCorrmat(betacorrelations,66))</f>
        <v>3.9580568970140899E-4</v>
      </c>
      <c r="L34">
        <f ca="1">_xll.RiskNormal(0,SQRT(H34))</f>
        <v>0</v>
      </c>
      <c r="M34" s="1">
        <f t="shared" si="1"/>
        <v>-3.8134386274863261E-3</v>
      </c>
      <c r="N34" s="1">
        <f t="shared" si="2"/>
        <v>3.5857343900871474E-4</v>
      </c>
      <c r="O34" s="1">
        <f t="shared" si="3"/>
        <v>-3.6336288939198143E-3</v>
      </c>
      <c r="P34" s="1">
        <f t="shared" si="4"/>
        <v>4.3303794039410324E-4</v>
      </c>
    </row>
    <row r="35" spans="1:16" x14ac:dyDescent="0.45">
      <c r="A35" t="s">
        <v>161</v>
      </c>
      <c r="B35">
        <v>14.842733648716999</v>
      </c>
      <c r="C35">
        <v>-7.0459132080584099E-3</v>
      </c>
      <c r="D35">
        <v>6.8296496537596796E-4</v>
      </c>
      <c r="E35" s="1">
        <v>5.5884977996382003E-9</v>
      </c>
      <c r="F35" s="1">
        <v>-1.5168133215710899E-9</v>
      </c>
      <c r="G35" s="1">
        <v>5.2620166419346796E-10</v>
      </c>
      <c r="H35" s="1">
        <v>2.1683602874006001E-7</v>
      </c>
      <c r="I35" s="2">
        <f t="shared" si="0"/>
        <v>-0.88452168276248189</v>
      </c>
      <c r="J35">
        <f ca="1">_xll.RiskNormal(C35,SQRT(E35),_xll.RiskCorrmat(betacorrelations,67))</f>
        <v>-7.0459132080584099E-3</v>
      </c>
      <c r="K35">
        <f ca="1">_xll.RiskNormal(D35,SQRT(G35),_xll.RiskCorrmat(betacorrelations,68))</f>
        <v>6.8296496537596796E-4</v>
      </c>
      <c r="L35">
        <f ca="1">_xll.RiskNormal(0,SQRT(H35))</f>
        <v>0</v>
      </c>
      <c r="M35" s="1">
        <f t="shared" si="1"/>
        <v>-7.192435469667662E-3</v>
      </c>
      <c r="N35" s="1">
        <f t="shared" si="2"/>
        <v>6.3800435691516502E-4</v>
      </c>
      <c r="O35" s="1">
        <f t="shared" si="3"/>
        <v>-6.8993909464491578E-3</v>
      </c>
      <c r="P35" s="1">
        <f t="shared" si="4"/>
        <v>7.2792557383677089E-4</v>
      </c>
    </row>
    <row r="36" spans="1:16" x14ac:dyDescent="0.45">
      <c r="A36" t="s">
        <v>102</v>
      </c>
      <c r="B36">
        <v>26.400968806729701</v>
      </c>
      <c r="C36">
        <v>1.27110977521312E-2</v>
      </c>
      <c r="D36">
        <v>4.9751183868534303E-4</v>
      </c>
      <c r="E36" s="1">
        <v>9.6463104605535703E-9</v>
      </c>
      <c r="F36" s="1">
        <v>-3.4142529731467899E-9</v>
      </c>
      <c r="G36" s="1">
        <v>1.60940367157914E-9</v>
      </c>
      <c r="H36" s="1">
        <v>3.47746417093346E-7</v>
      </c>
      <c r="I36" s="2">
        <f t="shared" si="0"/>
        <v>-0.86652796838781898</v>
      </c>
      <c r="J36">
        <f ca="1">_xll.RiskNormal(C36,SQRT(E36),_xll.RiskCorrmat(betacorrelations,69))</f>
        <v>1.27110977521312E-2</v>
      </c>
      <c r="K36">
        <f ca="1">_xll.RiskNormal(D36,SQRT(G36),_xll.RiskCorrmat(betacorrelations,70))</f>
        <v>4.9751183868534303E-4</v>
      </c>
      <c r="L36">
        <f ca="1">_xll.RiskNormal(0,SQRT(H36))</f>
        <v>0</v>
      </c>
      <c r="M36" s="1">
        <f t="shared" si="1"/>
        <v>1.2518595112499266E-2</v>
      </c>
      <c r="N36" s="1">
        <f t="shared" si="2"/>
        <v>4.1888178625792554E-4</v>
      </c>
      <c r="O36" s="1">
        <f t="shared" si="3"/>
        <v>1.2903600391763135E-2</v>
      </c>
      <c r="P36" s="1">
        <f t="shared" si="4"/>
        <v>5.7614189111276047E-4</v>
      </c>
    </row>
    <row r="37" spans="1:16" x14ac:dyDescent="0.45">
      <c r="A37" t="s">
        <v>70</v>
      </c>
      <c r="B37">
        <v>25.295754577397201</v>
      </c>
      <c r="C37">
        <v>1.17783382004918E-2</v>
      </c>
      <c r="D37">
        <v>3.1871744673409898E-4</v>
      </c>
      <c r="E37" s="1">
        <v>5.1345207661827096E-9</v>
      </c>
      <c r="F37" s="1">
        <v>-1.7199023470888501E-9</v>
      </c>
      <c r="G37" s="1">
        <v>7.6089282724968499E-10</v>
      </c>
      <c r="H37" s="1">
        <v>2.7403056687962298E-7</v>
      </c>
      <c r="I37" s="2">
        <f t="shared" si="0"/>
        <v>-0.87014591715945222</v>
      </c>
      <c r="J37">
        <f ca="1">_xll.RiskNormal(C37,SQRT(E37),_xll.RiskCorrmat(betacorrelations,71))</f>
        <v>1.17783382004918E-2</v>
      </c>
      <c r="K37">
        <f ca="1">_xll.RiskNormal(D37,SQRT(G37),_xll.RiskCorrmat(betacorrelations,72))</f>
        <v>3.1871744673409898E-4</v>
      </c>
      <c r="L37">
        <f ca="1">_xll.RiskNormal(0,SQRT(H37))</f>
        <v>0</v>
      </c>
      <c r="M37" s="1">
        <f t="shared" si="1"/>
        <v>1.1637893282551109E-2</v>
      </c>
      <c r="N37" s="1">
        <f t="shared" si="2"/>
        <v>2.6465224641853194E-4</v>
      </c>
      <c r="O37" s="1">
        <f t="shared" si="3"/>
        <v>1.191878311843249E-2</v>
      </c>
      <c r="P37" s="1">
        <f t="shared" si="4"/>
        <v>3.7278264704966601E-4</v>
      </c>
    </row>
    <row r="38" spans="1:16" x14ac:dyDescent="0.45">
      <c r="A38" t="s">
        <v>36</v>
      </c>
      <c r="B38">
        <v>24.433153320376402</v>
      </c>
      <c r="C38">
        <v>1.16406656482098E-2</v>
      </c>
      <c r="D38">
        <v>2.69165133429883E-4</v>
      </c>
      <c r="E38" s="1">
        <v>4.4277800273661896E-9</v>
      </c>
      <c r="F38" s="1">
        <v>-1.40658515797813E-9</v>
      </c>
      <c r="G38" s="1">
        <v>5.9042160201593005E-10</v>
      </c>
      <c r="H38" s="1">
        <v>2.7319147418724698E-7</v>
      </c>
      <c r="I38" s="2">
        <f t="shared" si="0"/>
        <v>-0.86994519284029936</v>
      </c>
      <c r="J38">
        <f ca="1">_xll.RiskNormal(C38,SQRT(E38),_xll.RiskCorrmat(betacorrelations,73))</f>
        <v>1.16406656482098E-2</v>
      </c>
      <c r="K38">
        <f ca="1">_xll.RiskNormal(D38,SQRT(G38),_xll.RiskCorrmat(betacorrelations,74))</f>
        <v>2.69165133429883E-4</v>
      </c>
      <c r="L38">
        <f ca="1">_xll.RiskNormal(0,SQRT(H38))</f>
        <v>0</v>
      </c>
      <c r="M38" s="1">
        <f t="shared" si="1"/>
        <v>1.1510244178531184E-2</v>
      </c>
      <c r="N38" s="1">
        <f t="shared" si="2"/>
        <v>2.2153989194698451E-4</v>
      </c>
      <c r="O38" s="1">
        <f t="shared" si="3"/>
        <v>1.1771087117888416E-2</v>
      </c>
      <c r="P38" s="1">
        <f t="shared" si="4"/>
        <v>3.1679037491278149E-4</v>
      </c>
    </row>
    <row r="39" spans="1:16" x14ac:dyDescent="0.45">
      <c r="A39" t="s">
        <v>77</v>
      </c>
      <c r="B39">
        <v>25.093024727431899</v>
      </c>
      <c r="C39">
        <v>1.19646436228323E-2</v>
      </c>
      <c r="D39">
        <v>2.21847584227824E-4</v>
      </c>
      <c r="E39" s="1">
        <v>6.0070728886411497E-9</v>
      </c>
      <c r="F39" s="1">
        <v>-1.96075942889684E-9</v>
      </c>
      <c r="G39" s="1">
        <v>8.5668800444696697E-10</v>
      </c>
      <c r="H39" s="1">
        <v>2.88340086675593E-7</v>
      </c>
      <c r="I39" s="2">
        <f t="shared" si="0"/>
        <v>-0.86433384349579401</v>
      </c>
      <c r="J39">
        <f ca="1">_xll.RiskNormal(C39,SQRT(E39),_xll.RiskCorrmat(betacorrelations,75))</f>
        <v>1.19646436228323E-2</v>
      </c>
      <c r="K39">
        <f ca="1">_xll.RiskNormal(D39,SQRT(G39),_xll.RiskCorrmat(betacorrelations,76))</f>
        <v>2.21847584227824E-4</v>
      </c>
      <c r="L39">
        <f ca="1">_xll.RiskNormal(0,SQRT(H39))</f>
        <v>0</v>
      </c>
      <c r="M39" s="1">
        <f t="shared" si="1"/>
        <v>1.1812733217629089E-2</v>
      </c>
      <c r="N39" s="1">
        <f t="shared" si="2"/>
        <v>1.6447988741259996E-4</v>
      </c>
      <c r="O39" s="1">
        <f t="shared" si="3"/>
        <v>1.2116554028035511E-2</v>
      </c>
      <c r="P39" s="1">
        <f t="shared" si="4"/>
        <v>2.7921528104304808E-4</v>
      </c>
    </row>
    <row r="40" spans="1:16" x14ac:dyDescent="0.45">
      <c r="A40" t="s">
        <v>79</v>
      </c>
      <c r="B40">
        <v>20.744012698131598</v>
      </c>
      <c r="C40">
        <v>1.21288089477814E-2</v>
      </c>
      <c r="D40">
        <v>3.9196858283616298E-4</v>
      </c>
      <c r="E40" s="1">
        <v>8.3471996924068602E-9</v>
      </c>
      <c r="F40" s="1">
        <v>-2.71582906295962E-9</v>
      </c>
      <c r="G40" s="1">
        <v>1.1609778068983701E-9</v>
      </c>
      <c r="H40" s="1">
        <v>3.9690673971820702E-7</v>
      </c>
      <c r="I40" s="2">
        <f t="shared" si="0"/>
        <v>-0.87240886675566198</v>
      </c>
      <c r="J40">
        <f ca="1">_xll.RiskNormal(C40,SQRT(E40),_xll.RiskCorrmat(betacorrelations,77))</f>
        <v>1.21288089477814E-2</v>
      </c>
      <c r="K40">
        <f ca="1">_xll.RiskNormal(D40,SQRT(G40),_xll.RiskCorrmat(betacorrelations,78))</f>
        <v>3.9196858283616298E-4</v>
      </c>
      <c r="L40">
        <f ca="1">_xll.RiskNormal(0,SQRT(H40))</f>
        <v>0</v>
      </c>
      <c r="M40" s="1">
        <f t="shared" si="1"/>
        <v>1.1949737447150088E-2</v>
      </c>
      <c r="N40" s="1">
        <f t="shared" si="2"/>
        <v>3.251852589971927E-4</v>
      </c>
      <c r="O40" s="1">
        <f t="shared" si="3"/>
        <v>1.2307880448412712E-2</v>
      </c>
      <c r="P40" s="1">
        <f t="shared" si="4"/>
        <v>4.5875190667513327E-4</v>
      </c>
    </row>
    <row r="41" spans="1:16" x14ac:dyDescent="0.45">
      <c r="A41" t="s">
        <v>78</v>
      </c>
      <c r="B41">
        <v>24.9584005193142</v>
      </c>
      <c r="C41">
        <v>1.11273836102529E-2</v>
      </c>
      <c r="D41">
        <v>4.78142208467548E-4</v>
      </c>
      <c r="E41" s="1">
        <v>2.3064013971216499E-8</v>
      </c>
      <c r="F41" s="1">
        <v>-9.0371847175998502E-9</v>
      </c>
      <c r="G41" s="1">
        <v>4.5483807401867397E-9</v>
      </c>
      <c r="H41" s="1">
        <v>7.31414490034444E-7</v>
      </c>
      <c r="I41" s="2">
        <f t="shared" si="0"/>
        <v>-0.88234272058109842</v>
      </c>
      <c r="J41">
        <f ca="1">_xll.RiskNormal(C41,SQRT(E41),_xll.RiskCorrmat(betacorrelations,79))</f>
        <v>1.11273836102529E-2</v>
      </c>
      <c r="K41">
        <f ca="1">_xll.RiskNormal(D41,SQRT(G41),_xll.RiskCorrmat(betacorrelations,80))</f>
        <v>4.78142208467548E-4</v>
      </c>
      <c r="L41">
        <f ca="1">_xll.RiskNormal(0,SQRT(H41))</f>
        <v>0</v>
      </c>
      <c r="M41" s="1">
        <f t="shared" si="1"/>
        <v>1.0829721526554245E-2</v>
      </c>
      <c r="N41" s="1">
        <f t="shared" si="2"/>
        <v>3.4595650783581791E-4</v>
      </c>
      <c r="O41" s="1">
        <f t="shared" si="3"/>
        <v>1.1425045693951554E-2</v>
      </c>
      <c r="P41" s="1">
        <f t="shared" si="4"/>
        <v>6.1032790909927809E-4</v>
      </c>
    </row>
    <row r="42" spans="1:16" x14ac:dyDescent="0.45">
      <c r="A42" t="s">
        <v>52</v>
      </c>
      <c r="B42">
        <v>21.4054054728193</v>
      </c>
      <c r="C42">
        <v>7.61979862051814E-3</v>
      </c>
      <c r="D42">
        <v>3.6941734614834298E-4</v>
      </c>
      <c r="E42" s="1">
        <v>1.0867182647605301E-8</v>
      </c>
      <c r="F42" s="1">
        <v>-3.9344237874173398E-9</v>
      </c>
      <c r="G42" s="1">
        <v>1.80113767067775E-9</v>
      </c>
      <c r="H42" s="1">
        <v>3.0694445587696803E-7</v>
      </c>
      <c r="I42" s="2">
        <f t="shared" si="0"/>
        <v>-0.88930185690182284</v>
      </c>
      <c r="J42">
        <f ca="1">_xll.RiskNormal(C42,SQRT(E42),_xll.RiskCorrmat(betacorrelations,81))</f>
        <v>7.61979862051814E-3</v>
      </c>
      <c r="K42">
        <f ca="1">_xll.RiskNormal(D42,SQRT(G42),_xll.RiskCorrmat(betacorrelations,82))</f>
        <v>3.6941734614834298E-4</v>
      </c>
      <c r="L42">
        <f ca="1">_xll.RiskNormal(0,SQRT(H42))</f>
        <v>0</v>
      </c>
      <c r="M42" s="1">
        <f t="shared" si="1"/>
        <v>7.4154768917200492E-3</v>
      </c>
      <c r="N42" s="1">
        <f t="shared" si="2"/>
        <v>2.8623531397987739E-4</v>
      </c>
      <c r="O42" s="1">
        <f t="shared" si="3"/>
        <v>7.8241203493162308E-3</v>
      </c>
      <c r="P42" s="1">
        <f t="shared" si="4"/>
        <v>4.5259937831680858E-4</v>
      </c>
    </row>
    <row r="43" spans="1:16" x14ac:dyDescent="0.45">
      <c r="A43" t="s">
        <v>59</v>
      </c>
      <c r="B43">
        <v>22.881572176717299</v>
      </c>
      <c r="C43">
        <v>1.0924536622203201E-2</v>
      </c>
      <c r="D43">
        <v>3.5275019468157499E-4</v>
      </c>
      <c r="E43" s="1">
        <v>1.2089405077900399E-8</v>
      </c>
      <c r="F43" s="1">
        <v>-4.1302416966796198E-9</v>
      </c>
      <c r="G43" s="1">
        <v>1.84730194709469E-9</v>
      </c>
      <c r="H43" s="1">
        <v>6.2381015552513603E-7</v>
      </c>
      <c r="I43" s="2">
        <f t="shared" si="0"/>
        <v>-0.87398515887829997</v>
      </c>
      <c r="J43">
        <f ca="1">_xll.RiskNormal(C43,SQRT(E43),_xll.RiskCorrmat(betacorrelations,83))</f>
        <v>1.0924536622203201E-2</v>
      </c>
      <c r="K43">
        <f ca="1">_xll.RiskNormal(D43,SQRT(G43),_xll.RiskCorrmat(betacorrelations,84))</f>
        <v>3.5275019468157499E-4</v>
      </c>
      <c r="L43">
        <f ca="1">_xll.RiskNormal(0,SQRT(H43))</f>
        <v>0</v>
      </c>
      <c r="M43" s="1">
        <f t="shared" si="1"/>
        <v>1.0709031033998945E-2</v>
      </c>
      <c r="N43" s="1">
        <f t="shared" si="2"/>
        <v>2.6850890338117432E-4</v>
      </c>
      <c r="O43" s="1">
        <f t="shared" si="3"/>
        <v>1.1140042210407456E-2</v>
      </c>
      <c r="P43" s="1">
        <f t="shared" si="4"/>
        <v>4.3699148598197565E-4</v>
      </c>
    </row>
    <row r="44" spans="1:16" x14ac:dyDescent="0.45">
      <c r="A44" t="s">
        <v>155</v>
      </c>
      <c r="B44">
        <v>26.023995257968799</v>
      </c>
      <c r="C44">
        <v>1.24664724577089E-2</v>
      </c>
      <c r="D44">
        <v>3.3707333250307701E-4</v>
      </c>
      <c r="E44" s="1">
        <v>1.7024680163661201E-8</v>
      </c>
      <c r="F44" s="1">
        <v>-6.4252666129821103E-9</v>
      </c>
      <c r="G44" s="1">
        <v>3.1775572914020799E-9</v>
      </c>
      <c r="H44" s="1">
        <v>5.6743344736580997E-7</v>
      </c>
      <c r="I44" s="2">
        <f t="shared" si="0"/>
        <v>-0.87358461619235217</v>
      </c>
      <c r="J44">
        <f ca="1">_xll.RiskNormal(C44,SQRT(E44),_xll.RiskCorrmat(betacorrelations,85))</f>
        <v>1.24664724577089E-2</v>
      </c>
      <c r="K44">
        <f ca="1">_xll.RiskNormal(D44,SQRT(G44),_xll.RiskCorrmat(betacorrelations,86))</f>
        <v>3.3707333250307701E-4</v>
      </c>
      <c r="L44">
        <f ca="1">_xll.RiskNormal(0,SQRT(H44))</f>
        <v>0</v>
      </c>
      <c r="M44" s="1">
        <f t="shared" si="1"/>
        <v>1.221073428825287E-2</v>
      </c>
      <c r="N44" s="1">
        <f t="shared" si="2"/>
        <v>2.2658847340170407E-4</v>
      </c>
      <c r="O44" s="1">
        <f t="shared" si="3"/>
        <v>1.2722210627164929E-2</v>
      </c>
      <c r="P44" s="1">
        <f t="shared" si="4"/>
        <v>4.4755819160444994E-4</v>
      </c>
    </row>
    <row r="45" spans="1:16" x14ac:dyDescent="0.45">
      <c r="A45" t="s">
        <v>115</v>
      </c>
      <c r="B45">
        <v>18.551734092926601</v>
      </c>
      <c r="C45">
        <v>5.1139949858042596E-3</v>
      </c>
      <c r="D45">
        <v>4.28986161308182E-4</v>
      </c>
      <c r="E45" s="1">
        <v>2.3112456462590398E-9</v>
      </c>
      <c r="F45" s="1">
        <v>-7.7374622362676704E-10</v>
      </c>
      <c r="G45" s="1">
        <v>3.4699625109566099E-10</v>
      </c>
      <c r="H45" s="1">
        <v>1.39653827425521E-7</v>
      </c>
      <c r="I45" s="2">
        <f t="shared" si="0"/>
        <v>-0.8639987178226175</v>
      </c>
      <c r="J45">
        <f ca="1">_xll.RiskNormal(C45,SQRT(E45),_xll.RiskCorrmat(betacorrelations,87))</f>
        <v>5.1139949858042596E-3</v>
      </c>
      <c r="K45">
        <f ca="1">_xll.RiskNormal(D45,SQRT(G45),_xll.RiskCorrmat(betacorrelations,88))</f>
        <v>4.28986161308182E-4</v>
      </c>
      <c r="L45">
        <f ca="1">_xll.RiskNormal(0,SQRT(H45))</f>
        <v>0</v>
      </c>
      <c r="M45" s="1">
        <f t="shared" si="1"/>
        <v>5.0197671699818138E-3</v>
      </c>
      <c r="N45" s="1">
        <f t="shared" si="2"/>
        <v>3.924756039554232E-4</v>
      </c>
      <c r="O45" s="1">
        <f t="shared" si="3"/>
        <v>5.2082228016267053E-3</v>
      </c>
      <c r="P45" s="1">
        <f t="shared" si="4"/>
        <v>4.6549671866094079E-4</v>
      </c>
    </row>
    <row r="46" spans="1:16" x14ac:dyDescent="0.45">
      <c r="A46" t="s">
        <v>26</v>
      </c>
      <c r="B46">
        <v>8.0259567340393794</v>
      </c>
      <c r="C46">
        <v>-5.0827530249791903E-3</v>
      </c>
      <c r="D46">
        <v>5.0430781009088202E-4</v>
      </c>
      <c r="E46" s="1">
        <v>1.3322458895547501E-9</v>
      </c>
      <c r="F46" s="1">
        <v>-3.4116768635818802E-10</v>
      </c>
      <c r="G46" s="1">
        <v>1.0708276619953399E-10</v>
      </c>
      <c r="H46" s="1">
        <v>7.2923494305948594E-8</v>
      </c>
      <c r="I46" s="2">
        <f t="shared" si="0"/>
        <v>-0.90326650310298817</v>
      </c>
      <c r="J46">
        <f ca="1">_xll.RiskNormal(C46,SQRT(E46),_xll.RiskCorrmat(betacorrelations,89))</f>
        <v>-5.0827530249791903E-3</v>
      </c>
      <c r="K46">
        <f ca="1">_xll.RiskNormal(D46,SQRT(G46),_xll.RiskCorrmat(betacorrelations,90))</f>
        <v>5.0430781009088202E-4</v>
      </c>
      <c r="L46">
        <f ca="1">_xll.RiskNormal(0,SQRT(H46))</f>
        <v>0</v>
      </c>
      <c r="M46" s="1">
        <f t="shared" si="1"/>
        <v>-5.1542929146164655E-3</v>
      </c>
      <c r="N46" s="1">
        <f t="shared" si="2"/>
        <v>4.8402557267406509E-4</v>
      </c>
      <c r="O46" s="1">
        <f t="shared" si="3"/>
        <v>-5.0112131353419152E-3</v>
      </c>
      <c r="P46" s="1">
        <f t="shared" si="4"/>
        <v>5.2459004750769896E-4</v>
      </c>
    </row>
    <row r="47" spans="1:16" x14ac:dyDescent="0.45">
      <c r="A47" t="s">
        <v>48</v>
      </c>
      <c r="B47">
        <v>9.0170805264332508</v>
      </c>
      <c r="C47">
        <v>-4.1731358350838204E-3</v>
      </c>
      <c r="D47">
        <v>4.9133421066932395E-4</v>
      </c>
      <c r="E47" s="1">
        <v>1.0679639362612599E-9</v>
      </c>
      <c r="F47" s="1">
        <v>-3.0286175346343998E-10</v>
      </c>
      <c r="G47" s="1">
        <v>1.06828074195387E-10</v>
      </c>
      <c r="H47" s="1">
        <v>4.9189502170064502E-8</v>
      </c>
      <c r="I47" s="2">
        <f t="shared" si="0"/>
        <v>-0.89665100388103547</v>
      </c>
      <c r="J47">
        <f ca="1">_xll.RiskNormal(C47,SQRT(E47),_xll.RiskCorrmat(betacorrelations,91))</f>
        <v>-4.1731358350838204E-3</v>
      </c>
      <c r="K47">
        <f ca="1">_xll.RiskNormal(D47,SQRT(G47),_xll.RiskCorrmat(betacorrelations,92))</f>
        <v>4.9133421066932395E-4</v>
      </c>
      <c r="L47">
        <f ca="1">_xll.RiskNormal(0,SQRT(H47))</f>
        <v>0</v>
      </c>
      <c r="M47" s="1">
        <f t="shared" si="1"/>
        <v>-4.2371880813952597E-3</v>
      </c>
      <c r="N47" s="1">
        <f t="shared" si="2"/>
        <v>4.7107610785022958E-4</v>
      </c>
      <c r="O47" s="1">
        <f t="shared" si="3"/>
        <v>-4.109083588772381E-3</v>
      </c>
      <c r="P47" s="1">
        <f t="shared" si="4"/>
        <v>5.1159231348841833E-4</v>
      </c>
    </row>
    <row r="48" spans="1:16" x14ac:dyDescent="0.45">
      <c r="A48" t="s">
        <v>131</v>
      </c>
      <c r="B48">
        <v>29.2547822199639</v>
      </c>
      <c r="C48">
        <v>1.50029847629254E-2</v>
      </c>
      <c r="D48">
        <v>1.6108464394176201E-4</v>
      </c>
      <c r="E48" s="1">
        <v>1.36186855453619E-8</v>
      </c>
      <c r="F48" s="1">
        <v>-4.3385961235309098E-9</v>
      </c>
      <c r="G48" s="1">
        <v>1.7733079905455301E-9</v>
      </c>
      <c r="H48" s="1">
        <v>7.6217742241195398E-7</v>
      </c>
      <c r="I48" s="2">
        <f t="shared" si="0"/>
        <v>-0.8828553279722412</v>
      </c>
      <c r="J48">
        <f ca="1">_xll.RiskNormal(C48,SQRT(E48),_xll.RiskCorrmat(betacorrelations,93))</f>
        <v>1.50029847629254E-2</v>
      </c>
      <c r="K48">
        <f ca="1">_xll.RiskNormal(D48,SQRT(G48),_xll.RiskCorrmat(betacorrelations,94))</f>
        <v>1.6108464394176201E-4</v>
      </c>
      <c r="L48">
        <f ca="1">_xll.RiskNormal(0,SQRT(H48))</f>
        <v>0</v>
      </c>
      <c r="M48" s="1">
        <f t="shared" si="1"/>
        <v>1.4774254479860253E-2</v>
      </c>
      <c r="N48" s="1">
        <f t="shared" si="2"/>
        <v>7.8547743245893208E-5</v>
      </c>
      <c r="O48" s="1">
        <f t="shared" si="3"/>
        <v>1.5231715045990548E-2</v>
      </c>
      <c r="P48" s="1">
        <f t="shared" si="4"/>
        <v>2.436215446376308E-4</v>
      </c>
    </row>
    <row r="49" spans="1:16" x14ac:dyDescent="0.45">
      <c r="A49" t="s">
        <v>15</v>
      </c>
      <c r="B49">
        <v>23.528869926049101</v>
      </c>
      <c r="C49">
        <v>9.7901021610038701E-3</v>
      </c>
      <c r="D49">
        <v>4.2876105790203402E-4</v>
      </c>
      <c r="E49" s="1">
        <v>1.2230744425891E-8</v>
      </c>
      <c r="F49" s="1">
        <v>-4.9928661641742303E-9</v>
      </c>
      <c r="G49" s="1">
        <v>2.72635638249413E-9</v>
      </c>
      <c r="H49" s="1">
        <v>4.7357867826018597E-7</v>
      </c>
      <c r="I49" s="2">
        <f t="shared" si="0"/>
        <v>-0.86463371591913962</v>
      </c>
      <c r="J49">
        <f ca="1">_xll.RiskNormal(C49,SQRT(E49),_xll.RiskCorrmat(betacorrelations,95))</f>
        <v>9.7901021610038701E-3</v>
      </c>
      <c r="K49">
        <f ca="1">_xll.RiskNormal(D49,SQRT(G49),_xll.RiskCorrmat(betacorrelations,96))</f>
        <v>4.2876105790203402E-4</v>
      </c>
      <c r="L49">
        <f ca="1">_xll.RiskNormal(0,SQRT(H49))</f>
        <v>0</v>
      </c>
      <c r="M49" s="1">
        <f t="shared" si="1"/>
        <v>9.5733404766901922E-3</v>
      </c>
      <c r="N49" s="1">
        <f t="shared" si="2"/>
        <v>3.2642059337802744E-4</v>
      </c>
      <c r="O49" s="1">
        <f t="shared" si="3"/>
        <v>1.0006863845317548E-2</v>
      </c>
      <c r="P49" s="1">
        <f t="shared" si="4"/>
        <v>5.3110152242604055E-4</v>
      </c>
    </row>
    <row r="50" spans="1:16" x14ac:dyDescent="0.45">
      <c r="A50" t="s">
        <v>118</v>
      </c>
      <c r="B50">
        <v>7.9704190422126802</v>
      </c>
      <c r="C50">
        <v>-4.7136484092970997E-3</v>
      </c>
      <c r="D50">
        <v>4.34852733608402E-4</v>
      </c>
      <c r="E50" s="1">
        <v>2.43767215602479E-9</v>
      </c>
      <c r="F50" s="1">
        <v>-7.0197267775199705E-10</v>
      </c>
      <c r="G50" s="1">
        <v>2.4518676116916701E-10</v>
      </c>
      <c r="H50" s="1">
        <v>1.010234036859E-7</v>
      </c>
      <c r="I50" s="2">
        <f t="shared" si="0"/>
        <v>-0.90799624407034008</v>
      </c>
      <c r="J50">
        <f ca="1">_xll.RiskNormal(C50,SQRT(E50),_xll.RiskCorrmat(betacorrelations,97))</f>
        <v>-4.7136484092970997E-3</v>
      </c>
      <c r="K50">
        <f ca="1">_xll.RiskNormal(D50,SQRT(G50),_xll.RiskCorrmat(betacorrelations,98))</f>
        <v>4.34852733608402E-4</v>
      </c>
      <c r="L50">
        <f ca="1">_xll.RiskNormal(0,SQRT(H50))</f>
        <v>0</v>
      </c>
      <c r="M50" s="1">
        <f t="shared" si="1"/>
        <v>-4.8104190730056057E-3</v>
      </c>
      <c r="N50" s="1">
        <f t="shared" si="2"/>
        <v>4.0416219008588563E-4</v>
      </c>
      <c r="O50" s="1">
        <f t="shared" si="3"/>
        <v>-4.6168777455885936E-3</v>
      </c>
      <c r="P50" s="1">
        <f t="shared" si="4"/>
        <v>4.6554327713091838E-4</v>
      </c>
    </row>
    <row r="51" spans="1:16" x14ac:dyDescent="0.45">
      <c r="A51" t="s">
        <v>20</v>
      </c>
      <c r="B51">
        <v>25.416237995614601</v>
      </c>
      <c r="C51">
        <v>1.0869374486306E-2</v>
      </c>
      <c r="D51">
        <v>4.2198572433283697E-4</v>
      </c>
      <c r="E51" s="1">
        <v>1.1546227046613E-8</v>
      </c>
      <c r="F51" s="1">
        <v>-4.1564512557835203E-9</v>
      </c>
      <c r="G51" s="1">
        <v>1.9910879759168902E-9</v>
      </c>
      <c r="H51" s="1">
        <v>4.63524599561435E-7</v>
      </c>
      <c r="I51" s="2">
        <f t="shared" si="0"/>
        <v>-0.86687687996691865</v>
      </c>
      <c r="J51">
        <f ca="1">_xll.RiskNormal(C51,SQRT(E51),_xll.RiskCorrmat(betacorrelations,99))</f>
        <v>1.0869374486306E-2</v>
      </c>
      <c r="K51">
        <f ca="1">_xll.RiskNormal(D51,SQRT(G51),_xll.RiskCorrmat(betacorrelations,100))</f>
        <v>4.2198572433283697E-4</v>
      </c>
      <c r="L51">
        <f ca="1">_xll.RiskNormal(0,SQRT(H51))</f>
        <v>0</v>
      </c>
      <c r="M51" s="1">
        <f t="shared" si="1"/>
        <v>1.0658765878166949E-2</v>
      </c>
      <c r="N51" s="1">
        <f t="shared" si="2"/>
        <v>3.3452737099662144E-4</v>
      </c>
      <c r="O51" s="1">
        <f t="shared" si="3"/>
        <v>1.1079983094445051E-2</v>
      </c>
      <c r="P51" s="1">
        <f t="shared" si="4"/>
        <v>5.0944407766905257E-4</v>
      </c>
    </row>
    <row r="52" spans="1:16" x14ac:dyDescent="0.45">
      <c r="A52" t="s">
        <v>187</v>
      </c>
      <c r="B52">
        <v>16.795100938616901</v>
      </c>
      <c r="C52">
        <v>1.0334894075812799E-2</v>
      </c>
      <c r="D52">
        <v>4.88787133399333E-4</v>
      </c>
      <c r="E52" s="1">
        <v>1.95332101673103E-8</v>
      </c>
      <c r="F52" s="1">
        <v>-5.7377401421179702E-9</v>
      </c>
      <c r="G52" s="1">
        <v>2.2422377379025601E-9</v>
      </c>
      <c r="H52" s="1">
        <v>1.5600272326318201E-6</v>
      </c>
      <c r="I52" s="2">
        <f t="shared" si="0"/>
        <v>-0.86698829700297397</v>
      </c>
      <c r="J52">
        <f ca="1">_xll.RiskNormal(C52,SQRT(E52),_xll.RiskCorrmat(betacorrelations,101))</f>
        <v>1.0334894075812799E-2</v>
      </c>
      <c r="K52">
        <f ca="1">_xll.RiskNormal(D52,SQRT(G52),_xll.RiskCorrmat(betacorrelations,102))</f>
        <v>4.88787133399333E-4</v>
      </c>
      <c r="L52">
        <f ca="1">_xll.RiskNormal(0,SQRT(H52))</f>
        <v>0</v>
      </c>
      <c r="M52" s="1">
        <f t="shared" si="1"/>
        <v>1.0060962003614711E-2</v>
      </c>
      <c r="N52" s="1">
        <f t="shared" si="2"/>
        <v>3.9597667874078458E-4</v>
      </c>
      <c r="O52" s="1">
        <f t="shared" si="3"/>
        <v>1.0608826148010888E-2</v>
      </c>
      <c r="P52" s="1">
        <f t="shared" si="4"/>
        <v>5.8159758805788146E-4</v>
      </c>
    </row>
    <row r="53" spans="1:16" x14ac:dyDescent="0.45">
      <c r="A53" t="s">
        <v>114</v>
      </c>
      <c r="B53">
        <v>20.990689730470301</v>
      </c>
      <c r="C53">
        <v>8.8484721631990407E-3</v>
      </c>
      <c r="D53">
        <v>4.0924840823100301E-4</v>
      </c>
      <c r="E53" s="1">
        <v>6.3796014178430098E-9</v>
      </c>
      <c r="F53" s="1">
        <v>-2.2039141284044299E-9</v>
      </c>
      <c r="G53" s="1">
        <v>1.00379866395491E-9</v>
      </c>
      <c r="H53" s="1">
        <v>3.0989969521906098E-7</v>
      </c>
      <c r="I53" s="2">
        <f t="shared" si="0"/>
        <v>-0.87091263130249641</v>
      </c>
      <c r="J53">
        <f ca="1">_xll.RiskNormal(C53,SQRT(E53),_xll.RiskCorrmat(betacorrelations,103))</f>
        <v>8.8484721631990407E-3</v>
      </c>
      <c r="K53">
        <f ca="1">_xll.RiskNormal(D53,SQRT(G53),_xll.RiskCorrmat(betacorrelations,104))</f>
        <v>4.0924840823100301E-4</v>
      </c>
      <c r="L53">
        <f ca="1">_xll.RiskNormal(0,SQRT(H53))</f>
        <v>0</v>
      </c>
      <c r="M53" s="1">
        <f t="shared" si="1"/>
        <v>8.6919222452597911E-3</v>
      </c>
      <c r="N53" s="1">
        <f t="shared" si="2"/>
        <v>3.4715015586067312E-4</v>
      </c>
      <c r="O53" s="1">
        <f t="shared" si="3"/>
        <v>9.0050220811382902E-3</v>
      </c>
      <c r="P53" s="1">
        <f t="shared" si="4"/>
        <v>4.713466606013329E-4</v>
      </c>
    </row>
    <row r="54" spans="1:16" x14ac:dyDescent="0.45">
      <c r="A54" t="s">
        <v>150</v>
      </c>
      <c r="B54">
        <v>21.9892225949934</v>
      </c>
      <c r="C54">
        <v>1.0372848355785599E-2</v>
      </c>
      <c r="D54">
        <v>4.1859912670866501E-4</v>
      </c>
      <c r="E54" s="1">
        <v>6.9338938568472104E-9</v>
      </c>
      <c r="F54" s="1">
        <v>-2.1065435504799901E-9</v>
      </c>
      <c r="G54" s="1">
        <v>8.3765072038354804E-10</v>
      </c>
      <c r="H54" s="1">
        <v>5.5448633708479502E-7</v>
      </c>
      <c r="I54" s="2">
        <f t="shared" si="0"/>
        <v>-0.8740783519709624</v>
      </c>
      <c r="J54">
        <f ca="1">_xll.RiskNormal(C54,SQRT(E54),_xll.RiskCorrmat(betacorrelations,105))</f>
        <v>1.0372848355785599E-2</v>
      </c>
      <c r="K54">
        <f ca="1">_xll.RiskNormal(D54,SQRT(G54),_xll.RiskCorrmat(betacorrelations,106))</f>
        <v>4.1859912670866501E-4</v>
      </c>
      <c r="L54">
        <f ca="1">_xll.RiskNormal(0,SQRT(H54))</f>
        <v>0</v>
      </c>
      <c r="M54" s="1">
        <f t="shared" si="1"/>
        <v>1.0209639144524519E-2</v>
      </c>
      <c r="N54" s="1">
        <f t="shared" si="2"/>
        <v>3.6187242217345126E-4</v>
      </c>
      <c r="O54" s="1">
        <f t="shared" si="3"/>
        <v>1.053605756704668E-2</v>
      </c>
      <c r="P54" s="1">
        <f t="shared" si="4"/>
        <v>4.7532583124387876E-4</v>
      </c>
    </row>
    <row r="55" spans="1:16" x14ac:dyDescent="0.45">
      <c r="A55" t="s">
        <v>75</v>
      </c>
      <c r="B55">
        <v>22.756748179123299</v>
      </c>
      <c r="C55">
        <v>1.31884628354937E-2</v>
      </c>
      <c r="D55">
        <v>2.9274903397105099E-4</v>
      </c>
      <c r="E55" s="1">
        <v>9.2158550630691796E-9</v>
      </c>
      <c r="F55" s="1">
        <v>-2.7116419885955101E-9</v>
      </c>
      <c r="G55" s="1">
        <v>1.03271170583747E-9</v>
      </c>
      <c r="H55" s="1">
        <v>6.5435969339297505E-7</v>
      </c>
      <c r="I55" s="2">
        <f t="shared" ref="I55:I94" si="5">F55/(SQRT(E55)*SQRT(G55))</f>
        <v>-0.87897188173976137</v>
      </c>
      <c r="J55">
        <f ca="1">_xll.RiskNormal(C55,SQRT(E55),_xll.RiskCorrmat(betacorrelations,107))</f>
        <v>1.31884628354937E-2</v>
      </c>
      <c r="K55">
        <f ca="1">_xll.RiskNormal(D55,SQRT(G55),_xll.RiskCorrmat(betacorrelations,108))</f>
        <v>2.9274903397105099E-4</v>
      </c>
      <c r="L55">
        <f ca="1">_xll.RiskNormal(0,SQRT(H55))</f>
        <v>0</v>
      </c>
      <c r="M55" s="1">
        <f t="shared" si="1"/>
        <v>1.3000304315064019E-2</v>
      </c>
      <c r="N55" s="1">
        <f t="shared" si="2"/>
        <v>2.2976280302217436E-4</v>
      </c>
      <c r="O55" s="1">
        <f t="shared" si="3"/>
        <v>1.3376621355923381E-2</v>
      </c>
      <c r="P55" s="1">
        <f t="shared" si="4"/>
        <v>3.5573526491992761E-4</v>
      </c>
    </row>
    <row r="56" spans="1:16" x14ac:dyDescent="0.45">
      <c r="A56" t="s">
        <v>173</v>
      </c>
      <c r="B56">
        <v>22.692560428643102</v>
      </c>
      <c r="C56">
        <v>1.06152997131934E-2</v>
      </c>
      <c r="D56">
        <v>4.47960374029618E-4</v>
      </c>
      <c r="E56" s="1">
        <v>8.2799183578929392E-9</v>
      </c>
      <c r="F56" s="1">
        <v>-2.7232458912578801E-9</v>
      </c>
      <c r="G56" s="1">
        <v>1.1558593233062501E-9</v>
      </c>
      <c r="H56" s="1">
        <v>5.8294664695859298E-7</v>
      </c>
      <c r="I56" s="2">
        <f t="shared" si="5"/>
        <v>-0.88028102316662016</v>
      </c>
      <c r="J56">
        <f ca="1">_xll.RiskNormal(C56,SQRT(E56),_xll.RiskCorrmat(betacorrelations,109))</f>
        <v>1.06152997131934E-2</v>
      </c>
      <c r="K56">
        <f ca="1">_xll.RiskNormal(D56,SQRT(G56),_xll.RiskCorrmat(betacorrelations,110))</f>
        <v>4.47960374029618E-4</v>
      </c>
      <c r="L56">
        <f ca="1">_xll.RiskNormal(0,SQRT(H56))</f>
        <v>0</v>
      </c>
      <c r="M56" s="1">
        <f t="shared" si="1"/>
        <v>1.0436951362027259E-2</v>
      </c>
      <c r="N56" s="1">
        <f t="shared" si="2"/>
        <v>3.8132442895180512E-4</v>
      </c>
      <c r="O56" s="1">
        <f t="shared" si="3"/>
        <v>1.0793648064359541E-2</v>
      </c>
      <c r="P56" s="1">
        <f t="shared" si="4"/>
        <v>5.1459631910743089E-4</v>
      </c>
    </row>
    <row r="57" spans="1:16" x14ac:dyDescent="0.45">
      <c r="A57" t="s">
        <v>172</v>
      </c>
      <c r="B57">
        <v>14.262899531832799</v>
      </c>
      <c r="C57" s="1">
        <v>-6.8529673892207994E-5</v>
      </c>
      <c r="D57">
        <v>5.0114975297137503E-4</v>
      </c>
      <c r="E57" s="1">
        <v>1.3662052084099999E-10</v>
      </c>
      <c r="F57" s="1">
        <v>-4.6426317822444798E-11</v>
      </c>
      <c r="G57" s="1">
        <v>2.1933090980113001E-11</v>
      </c>
      <c r="H57" s="1">
        <v>1.8567090149057098E-8</v>
      </c>
      <c r="I57" s="2">
        <f t="shared" si="5"/>
        <v>-0.84811813906452438</v>
      </c>
      <c r="J57">
        <f ca="1">_xll.RiskNormal(C57,SQRT(E57),_xll.RiskCorrmat(betacorrelations,111))</f>
        <v>-6.8529673892207994E-5</v>
      </c>
      <c r="K57">
        <f ca="1">_xll.RiskNormal(D57,SQRT(G57),_xll.RiskCorrmat(betacorrelations,112))</f>
        <v>5.0114975297137503E-4</v>
      </c>
      <c r="L57">
        <f ca="1">_xll.RiskNormal(0,SQRT(H57))</f>
        <v>0</v>
      </c>
      <c r="M57" s="1">
        <f t="shared" si="1"/>
        <v>-9.1439091014055196E-5</v>
      </c>
      <c r="N57" s="1">
        <f t="shared" si="2"/>
        <v>4.9197052847748659E-4</v>
      </c>
      <c r="O57" s="1">
        <f t="shared" si="3"/>
        <v>-4.5620256770360793E-5</v>
      </c>
      <c r="P57" s="1">
        <f t="shared" si="4"/>
        <v>5.1032897746526346E-4</v>
      </c>
    </row>
    <row r="58" spans="1:16" x14ac:dyDescent="0.45">
      <c r="A58" t="s">
        <v>171</v>
      </c>
      <c r="B58">
        <v>5.1444273611400302</v>
      </c>
      <c r="C58">
        <v>-7.4395829651083397E-3</v>
      </c>
      <c r="D58">
        <v>4.6881455371552901E-4</v>
      </c>
      <c r="E58" s="1">
        <v>5.2922928380462502E-9</v>
      </c>
      <c r="F58" s="1">
        <v>-1.05191022813201E-9</v>
      </c>
      <c r="G58" s="1">
        <v>2.4806498458513299E-10</v>
      </c>
      <c r="H58" s="1">
        <v>3.8368641007730501E-7</v>
      </c>
      <c r="I58" s="2">
        <f t="shared" si="5"/>
        <v>-0.91806622733881793</v>
      </c>
      <c r="J58">
        <f ca="1">_xll.RiskNormal(C58,SQRT(E58),_xll.RiskCorrmat(betacorrelations,113))</f>
        <v>-7.4395829651083397E-3</v>
      </c>
      <c r="K58">
        <f ca="1">_xll.RiskNormal(D58,SQRT(G58),_xll.RiskCorrmat(betacorrelations,114))</f>
        <v>4.6881455371552901E-4</v>
      </c>
      <c r="L58">
        <f ca="1">_xll.RiskNormal(0,SQRT(H58))</f>
        <v>0</v>
      </c>
      <c r="M58" s="1">
        <f t="shared" si="1"/>
        <v>-7.5821693325024159E-3</v>
      </c>
      <c r="N58" s="1">
        <f t="shared" si="2"/>
        <v>4.3794439911950785E-4</v>
      </c>
      <c r="O58" s="1">
        <f t="shared" si="3"/>
        <v>-7.2969965977142635E-3</v>
      </c>
      <c r="P58" s="1">
        <f t="shared" si="4"/>
        <v>4.9968470831155017E-4</v>
      </c>
    </row>
    <row r="59" spans="1:16" x14ac:dyDescent="0.45">
      <c r="A59" t="s">
        <v>69</v>
      </c>
      <c r="B59">
        <v>19.793488239500999</v>
      </c>
      <c r="C59">
        <v>9.8527428323339408E-3</v>
      </c>
      <c r="D59">
        <v>2.8662307961988399E-4</v>
      </c>
      <c r="E59" s="1">
        <v>5.8690571904773003E-9</v>
      </c>
      <c r="F59" s="1">
        <v>-1.9358301292013301E-9</v>
      </c>
      <c r="G59" s="1">
        <v>8.4358007151857001E-10</v>
      </c>
      <c r="H59" s="1">
        <v>2.6487876939138498E-7</v>
      </c>
      <c r="I59" s="2">
        <f t="shared" si="5"/>
        <v>-0.87000133374647515</v>
      </c>
      <c r="J59">
        <f ca="1">_xll.RiskNormal(C59,SQRT(E59),_xll.RiskCorrmat(betacorrelations,115))</f>
        <v>9.8527428323339408E-3</v>
      </c>
      <c r="K59">
        <f ca="1">_xll.RiskNormal(D59,SQRT(G59),_xll.RiskCorrmat(betacorrelations,116))</f>
        <v>2.8662307961988399E-4</v>
      </c>
      <c r="L59">
        <f ca="1">_xll.RiskNormal(0,SQRT(H59))</f>
        <v>0</v>
      </c>
      <c r="M59" s="1">
        <f t="shared" si="1"/>
        <v>9.7025876788994422E-3</v>
      </c>
      <c r="N59" s="1">
        <f t="shared" si="2"/>
        <v>2.2969595776442973E-4</v>
      </c>
      <c r="O59" s="1">
        <f t="shared" si="3"/>
        <v>1.0002897985768439E-2</v>
      </c>
      <c r="P59" s="1">
        <f t="shared" si="4"/>
        <v>3.4355020147533823E-4</v>
      </c>
    </row>
    <row r="60" spans="1:16" x14ac:dyDescent="0.45">
      <c r="A60" t="s">
        <v>119</v>
      </c>
      <c r="B60">
        <v>3.3446024611424998</v>
      </c>
      <c r="C60">
        <v>-1.16319710482482E-2</v>
      </c>
      <c r="D60">
        <v>5.2022988179666995E-4</v>
      </c>
      <c r="E60" s="1">
        <v>1.1189331378923501E-8</v>
      </c>
      <c r="F60" s="1">
        <v>-2.03890618018277E-9</v>
      </c>
      <c r="G60" s="1">
        <v>4.4080461935917901E-10</v>
      </c>
      <c r="H60" s="1">
        <v>1.0111356367957E-6</v>
      </c>
      <c r="I60" s="2">
        <f t="shared" si="5"/>
        <v>-0.91806219903842612</v>
      </c>
      <c r="J60">
        <f ca="1">_xll.RiskNormal(C60,SQRT(E60),_xll.RiskCorrmat(betacorrelations,117))</f>
        <v>-1.16319710482482E-2</v>
      </c>
      <c r="K60">
        <f ca="1">_xll.RiskNormal(D60,SQRT(G60),_xll.RiskCorrmat(betacorrelations,118))</f>
        <v>5.2022988179666995E-4</v>
      </c>
      <c r="L60">
        <f ca="1">_xll.RiskNormal(0,SQRT(H60))</f>
        <v>0</v>
      </c>
      <c r="M60" s="1">
        <f t="shared" si="1"/>
        <v>-1.1839299134684343E-2</v>
      </c>
      <c r="N60" s="1">
        <f t="shared" si="2"/>
        <v>4.7907900057001548E-4</v>
      </c>
      <c r="O60" s="1">
        <f t="shared" si="3"/>
        <v>-1.1424642961812058E-2</v>
      </c>
      <c r="P60" s="1">
        <f t="shared" si="4"/>
        <v>5.6138076302332442E-4</v>
      </c>
    </row>
    <row r="61" spans="1:16" x14ac:dyDescent="0.45">
      <c r="A61" t="s">
        <v>10</v>
      </c>
      <c r="B61">
        <v>23.848799249028701</v>
      </c>
      <c r="C61">
        <v>9.9525516567880393E-3</v>
      </c>
      <c r="D61">
        <v>4.8885763057439802E-4</v>
      </c>
      <c r="E61" s="1">
        <v>9.4308570516344594E-9</v>
      </c>
      <c r="F61" s="1">
        <v>-4.1078000221820097E-9</v>
      </c>
      <c r="G61" s="1">
        <v>2.3705300524390799E-9</v>
      </c>
      <c r="H61" s="1">
        <v>2.5357409834865798E-7</v>
      </c>
      <c r="I61" s="2">
        <f t="shared" si="5"/>
        <v>-0.86878232968423941</v>
      </c>
      <c r="J61">
        <f ca="1">_xll.RiskNormal(C61,SQRT(E61),_xll.RiskCorrmat(betacorrelations,119))</f>
        <v>9.9525516567880393E-3</v>
      </c>
      <c r="K61">
        <f ca="1">_xll.RiskNormal(D61,SQRT(G61),_xll.RiskCorrmat(betacorrelations,120))</f>
        <v>4.8885763057439802E-4</v>
      </c>
      <c r="L61">
        <f ca="1">_xll.RiskNormal(0,SQRT(H61))</f>
        <v>0</v>
      </c>
      <c r="M61" s="1">
        <f t="shared" si="1"/>
        <v>9.7622109610617739E-3</v>
      </c>
      <c r="N61" s="1">
        <f t="shared" si="2"/>
        <v>3.9342897528967777E-4</v>
      </c>
      <c r="O61" s="1">
        <f t="shared" si="3"/>
        <v>1.0142892352514305E-2</v>
      </c>
      <c r="P61" s="1">
        <f t="shared" si="4"/>
        <v>5.8428628585911833E-4</v>
      </c>
    </row>
    <row r="62" spans="1:16" x14ac:dyDescent="0.45">
      <c r="A62" t="s">
        <v>125</v>
      </c>
      <c r="B62">
        <v>11.0224081064835</v>
      </c>
      <c r="C62">
        <v>-2.2870294372120902E-3</v>
      </c>
      <c r="D62">
        <v>4.90809018093775E-4</v>
      </c>
      <c r="E62" s="1">
        <v>3.10203859374493E-10</v>
      </c>
      <c r="F62" s="1">
        <v>-9.8332552780179898E-11</v>
      </c>
      <c r="G62" s="1">
        <v>4.0664632837104799E-11</v>
      </c>
      <c r="H62" s="1">
        <v>1.97013491440546E-8</v>
      </c>
      <c r="I62" s="2">
        <f t="shared" si="5"/>
        <v>-0.87551842040297467</v>
      </c>
      <c r="J62">
        <f ca="1">_xll.RiskNormal(C62,SQRT(E62),_xll.RiskCorrmat(betacorrelations,121))</f>
        <v>-2.2870294372120902E-3</v>
      </c>
      <c r="K62">
        <f ca="1">_xll.RiskNormal(D62,SQRT(G62),_xll.RiskCorrmat(betacorrelations,122))</f>
        <v>4.90809018093775E-4</v>
      </c>
      <c r="L62">
        <f ca="1">_xll.RiskNormal(0,SQRT(H62))</f>
        <v>0</v>
      </c>
      <c r="M62" s="1">
        <f t="shared" si="1"/>
        <v>-2.3215501432618372E-3</v>
      </c>
      <c r="N62" s="1">
        <f t="shared" si="2"/>
        <v>4.7831032802213064E-4</v>
      </c>
      <c r="O62" s="1">
        <f t="shared" si="3"/>
        <v>-2.2525087311623432E-3</v>
      </c>
      <c r="P62" s="1">
        <f t="shared" si="4"/>
        <v>5.0330770816541936E-4</v>
      </c>
    </row>
    <row r="63" spans="1:16" x14ac:dyDescent="0.45">
      <c r="A63" t="s">
        <v>129</v>
      </c>
      <c r="B63">
        <v>27.431881402616199</v>
      </c>
      <c r="C63">
        <v>1.3412654069602899E-2</v>
      </c>
      <c r="D63">
        <v>4.8901778871178502E-4</v>
      </c>
      <c r="E63" s="1">
        <v>2.77600525097658E-8</v>
      </c>
      <c r="F63" s="1">
        <v>-1.1109376460558499E-8</v>
      </c>
      <c r="G63" s="1">
        <v>6.0374777575442998E-9</v>
      </c>
      <c r="H63" s="1">
        <v>1.01074182231381E-6</v>
      </c>
      <c r="I63" s="2">
        <f t="shared" si="5"/>
        <v>-0.8581274021648102</v>
      </c>
      <c r="J63">
        <f ca="1">_xll.RiskNormal(C63,SQRT(E63),_xll.RiskCorrmat(betacorrelations,123))</f>
        <v>1.3412654069602899E-2</v>
      </c>
      <c r="K63">
        <f ca="1">_xll.RiskNormal(D63,SQRT(G63),_xll.RiskCorrmat(betacorrelations,124))</f>
        <v>4.8901778871178502E-4</v>
      </c>
      <c r="L63">
        <f ca="1">_xll.RiskNormal(0,SQRT(H63))</f>
        <v>0</v>
      </c>
      <c r="M63" s="1">
        <f t="shared" si="1"/>
        <v>1.3086091644144126E-2</v>
      </c>
      <c r="N63" s="1">
        <f t="shared" si="2"/>
        <v>3.3672342061702524E-4</v>
      </c>
      <c r="O63" s="1">
        <f t="shared" si="3"/>
        <v>1.3739216495061672E-2</v>
      </c>
      <c r="P63" s="1">
        <f t="shared" si="4"/>
        <v>6.4131215680654475E-4</v>
      </c>
    </row>
    <row r="64" spans="1:16" x14ac:dyDescent="0.45">
      <c r="A64" t="s">
        <v>154</v>
      </c>
      <c r="B64">
        <v>25.7608238684128</v>
      </c>
      <c r="C64">
        <v>1.1602671766748699E-2</v>
      </c>
      <c r="D64">
        <v>5.3293004004230805E-4</v>
      </c>
      <c r="E64" s="1">
        <v>7.9428755597408404E-9</v>
      </c>
      <c r="F64" s="1">
        <v>-2.8484171583996501E-9</v>
      </c>
      <c r="G64" s="1">
        <v>1.3717812571821199E-9</v>
      </c>
      <c r="H64" s="1">
        <v>2.9611878045199801E-7</v>
      </c>
      <c r="I64" s="2">
        <f t="shared" si="5"/>
        <v>-0.86292347075650833</v>
      </c>
      <c r="J64">
        <f ca="1">_xll.RiskNormal(C64,SQRT(E64),_xll.RiskCorrmat(betacorrelations,125))</f>
        <v>1.1602671766748699E-2</v>
      </c>
      <c r="K64">
        <f ca="1">_xll.RiskNormal(D64,SQRT(G64),_xll.RiskCorrmat(betacorrelations,126))</f>
        <v>5.3293004004230805E-4</v>
      </c>
      <c r="L64">
        <f ca="1">_xll.RiskNormal(0,SQRT(H64))</f>
        <v>0</v>
      </c>
      <c r="M64" s="1">
        <f t="shared" si="1"/>
        <v>1.1427991055877978E-2</v>
      </c>
      <c r="N64" s="1">
        <f t="shared" si="2"/>
        <v>4.6033641168836205E-4</v>
      </c>
      <c r="O64" s="1">
        <f t="shared" si="3"/>
        <v>1.1777352477619421E-2</v>
      </c>
      <c r="P64" s="1">
        <f t="shared" si="4"/>
        <v>6.055236683962541E-4</v>
      </c>
    </row>
    <row r="65" spans="1:16" x14ac:dyDescent="0.45">
      <c r="A65" t="s">
        <v>149</v>
      </c>
      <c r="B65">
        <v>9.2067394996446605</v>
      </c>
      <c r="C65">
        <v>-4.0283994149106902E-3</v>
      </c>
      <c r="D65">
        <v>3.87454470834842E-4</v>
      </c>
      <c r="E65" s="1">
        <v>1.5078726103572199E-9</v>
      </c>
      <c r="F65" s="1">
        <v>-5.3520747279196003E-10</v>
      </c>
      <c r="G65" s="1">
        <v>2.3732695035657301E-10</v>
      </c>
      <c r="H65" s="1">
        <v>4.7340346372907099E-8</v>
      </c>
      <c r="I65" s="2">
        <f t="shared" si="5"/>
        <v>-0.89467708281937253</v>
      </c>
      <c r="J65">
        <f ca="1">_xll.RiskNormal(C65,SQRT(E65),_xll.RiskCorrmat(betacorrelations,127))</f>
        <v>-4.0283994149106902E-3</v>
      </c>
      <c r="K65">
        <f ca="1">_xll.RiskNormal(D65,SQRT(G65),_xll.RiskCorrmat(betacorrelations,128))</f>
        <v>3.87454470834842E-4</v>
      </c>
      <c r="L65">
        <f ca="1">_xll.RiskNormal(0,SQRT(H65))</f>
        <v>0</v>
      </c>
      <c r="M65" s="1">
        <f t="shared" si="1"/>
        <v>-4.104508832330273E-3</v>
      </c>
      <c r="N65" s="1">
        <f t="shared" si="2"/>
        <v>3.5725984859031289E-4</v>
      </c>
      <c r="O65" s="1">
        <f t="shared" si="3"/>
        <v>-3.9522899974911074E-3</v>
      </c>
      <c r="P65" s="1">
        <f t="shared" si="4"/>
        <v>4.1764909307937111E-4</v>
      </c>
    </row>
    <row r="66" spans="1:16" x14ac:dyDescent="0.45">
      <c r="A66" t="s">
        <v>136</v>
      </c>
      <c r="B66">
        <v>9.4642401665579499</v>
      </c>
      <c r="C66">
        <v>-5.4479797608384603E-3</v>
      </c>
      <c r="D66">
        <v>4.48474986152568E-4</v>
      </c>
      <c r="E66" s="1">
        <v>1.58464602918859E-9</v>
      </c>
      <c r="F66" s="1">
        <v>-3.5791660876846898E-10</v>
      </c>
      <c r="G66" s="1">
        <v>9.9776589633305496E-11</v>
      </c>
      <c r="H66" s="1">
        <v>7.8007999684437207E-8</v>
      </c>
      <c r="I66" s="2">
        <f t="shared" si="5"/>
        <v>-0.90012202942684616</v>
      </c>
      <c r="J66">
        <f ca="1">_xll.RiskNormal(C66,SQRT(E66),_xll.RiskCorrmat(betacorrelations,129))</f>
        <v>-5.4479797608384603E-3</v>
      </c>
      <c r="K66">
        <f ca="1">_xll.RiskNormal(D66,SQRT(G66),_xll.RiskCorrmat(betacorrelations,130))</f>
        <v>4.48474986152568E-4</v>
      </c>
      <c r="L66">
        <f ca="1">_xll.RiskNormal(0,SQRT(H66))</f>
        <v>0</v>
      </c>
      <c r="M66" s="1">
        <f t="shared" si="1"/>
        <v>-5.5260026817382244E-3</v>
      </c>
      <c r="N66" s="1">
        <f t="shared" si="2"/>
        <v>4.2889689261067006E-4</v>
      </c>
      <c r="O66" s="1">
        <f t="shared" si="3"/>
        <v>-5.3699568399386962E-3</v>
      </c>
      <c r="P66" s="1">
        <f t="shared" si="4"/>
        <v>4.6805307969446594E-4</v>
      </c>
    </row>
    <row r="67" spans="1:16" x14ac:dyDescent="0.45">
      <c r="A67" t="s">
        <v>89</v>
      </c>
      <c r="B67">
        <v>27.103593128714198</v>
      </c>
      <c r="C67">
        <v>1.3794253416583699E-2</v>
      </c>
      <c r="D67">
        <v>5.0972087522384898E-4</v>
      </c>
      <c r="E67" s="1">
        <v>1.5794742825361001E-8</v>
      </c>
      <c r="F67" s="1">
        <v>-5.3534613183107602E-9</v>
      </c>
      <c r="G67" s="1">
        <v>2.3957753514265101E-9</v>
      </c>
      <c r="H67" s="1">
        <v>5.0406598038517004E-7</v>
      </c>
      <c r="I67" s="2">
        <f t="shared" si="5"/>
        <v>-0.87027266624309751</v>
      </c>
      <c r="J67">
        <f ca="1">_xll.RiskNormal(C67,SQRT(E67),_xll.RiskCorrmat(betacorrelations,131))</f>
        <v>1.3794253416583699E-2</v>
      </c>
      <c r="K67">
        <f ca="1">_xll.RiskNormal(D67,SQRT(G67),_xll.RiskCorrmat(betacorrelations,132))</f>
        <v>5.0972087522384898E-4</v>
      </c>
      <c r="L67">
        <f ca="1">_xll.RiskNormal(0,SQRT(H67))</f>
        <v>0</v>
      </c>
      <c r="M67" s="1">
        <f t="shared" ref="M67:M130" si="6">C67-1.96*SQRT(E67)</f>
        <v>1.3547926227589251E-2</v>
      </c>
      <c r="N67" s="1">
        <f t="shared" ref="N67:N130" si="7">D67-1.96*SQRT(G67)</f>
        <v>4.1378542510221727E-4</v>
      </c>
      <c r="O67" s="1">
        <f t="shared" ref="O67:O130" si="8">C67+1.96*SQRT(E67)</f>
        <v>1.4040580605578147E-2</v>
      </c>
      <c r="P67" s="1">
        <f t="shared" ref="P67:P130" si="9">D67+1.96*SQRT(G67)</f>
        <v>6.0565632534548069E-4</v>
      </c>
    </row>
    <row r="68" spans="1:16" x14ac:dyDescent="0.45">
      <c r="A68" t="s">
        <v>182</v>
      </c>
      <c r="B68">
        <v>25.253508487398602</v>
      </c>
      <c r="C68">
        <v>1.2346782636289799E-2</v>
      </c>
      <c r="D68">
        <v>3.7006420449351302E-4</v>
      </c>
      <c r="E68" s="1">
        <v>6.0278993917157999E-9</v>
      </c>
      <c r="F68" s="1">
        <v>-1.9923568337840999E-9</v>
      </c>
      <c r="G68" s="1">
        <v>8.6732282945162697E-10</v>
      </c>
      <c r="H68" s="1">
        <v>3.2617325751882401E-7</v>
      </c>
      <c r="I68" s="2">
        <f t="shared" si="5"/>
        <v>-0.87135221043309541</v>
      </c>
      <c r="J68">
        <f ca="1">_xll.RiskNormal(C68,SQRT(E68),_xll.RiskCorrmat(betacorrelations,133))</f>
        <v>1.2346782636289799E-2</v>
      </c>
      <c r="K68">
        <f ca="1">_xll.RiskNormal(D68,SQRT(G68),_xll.RiskCorrmat(betacorrelations,134))</f>
        <v>3.7006420449351302E-4</v>
      </c>
      <c r="L68">
        <f ca="1">_xll.RiskNormal(0,SQRT(H68))</f>
        <v>0</v>
      </c>
      <c r="M68" s="1">
        <f t="shared" si="6"/>
        <v>1.2194609122486591E-2</v>
      </c>
      <c r="N68" s="1">
        <f t="shared" si="7"/>
        <v>3.1234152799959624E-4</v>
      </c>
      <c r="O68" s="1">
        <f t="shared" si="8"/>
        <v>1.2498956150093008E-2</v>
      </c>
      <c r="P68" s="1">
        <f t="shared" si="9"/>
        <v>4.277868809874298E-4</v>
      </c>
    </row>
    <row r="69" spans="1:16" x14ac:dyDescent="0.45">
      <c r="A69" t="s">
        <v>72</v>
      </c>
      <c r="B69">
        <v>24.7867763089059</v>
      </c>
      <c r="C69">
        <v>1.08347568820175E-2</v>
      </c>
      <c r="D69">
        <v>3.6937083347146502E-4</v>
      </c>
      <c r="E69" s="1">
        <v>1.4882660316296801E-8</v>
      </c>
      <c r="F69" s="1">
        <v>-5.7813138360558299E-9</v>
      </c>
      <c r="G69" s="1">
        <v>2.8883435173400898E-9</v>
      </c>
      <c r="H69" s="1">
        <v>4.7613044667019999E-7</v>
      </c>
      <c r="I69" s="2">
        <f t="shared" si="5"/>
        <v>-0.88178323795695857</v>
      </c>
      <c r="J69">
        <f ca="1">_xll.RiskNormal(C69,SQRT(E69),_xll.RiskCorrmat(betacorrelations,135))</f>
        <v>1.08347568820175E-2</v>
      </c>
      <c r="K69">
        <f ca="1">_xll.RiskNormal(D69,SQRT(G69),_xll.RiskCorrmat(betacorrelations,136))</f>
        <v>3.6937083347146502E-4</v>
      </c>
      <c r="L69">
        <f ca="1">_xll.RiskNormal(0,SQRT(H69))</f>
        <v>0</v>
      </c>
      <c r="M69" s="1">
        <f t="shared" si="6"/>
        <v>1.0595647643653346E-2</v>
      </c>
      <c r="N69" s="1">
        <f t="shared" si="7"/>
        <v>2.6403394318029645E-4</v>
      </c>
      <c r="O69" s="1">
        <f t="shared" si="8"/>
        <v>1.1073866120381654E-2</v>
      </c>
      <c r="P69" s="1">
        <f t="shared" si="9"/>
        <v>4.7470772376263359E-4</v>
      </c>
    </row>
    <row r="70" spans="1:16" x14ac:dyDescent="0.45">
      <c r="A70" t="s">
        <v>167</v>
      </c>
      <c r="B70">
        <v>27.092674943788001</v>
      </c>
      <c r="C70">
        <v>1.46455533898314E-2</v>
      </c>
      <c r="D70">
        <v>3.1619924858713398E-4</v>
      </c>
      <c r="E70" s="1">
        <v>1.3314718977749901E-8</v>
      </c>
      <c r="F70" s="1">
        <v>-4.6025845680086797E-9</v>
      </c>
      <c r="G70" s="1">
        <v>2.0544832840173799E-9</v>
      </c>
      <c r="H70" s="1">
        <v>6.9465480870332403E-7</v>
      </c>
      <c r="I70" s="2">
        <f t="shared" si="5"/>
        <v>-0.88000364024855848</v>
      </c>
      <c r="J70">
        <f ca="1">_xll.RiskNormal(C70,SQRT(E70),_xll.RiskCorrmat(betacorrelations,137))</f>
        <v>1.46455533898314E-2</v>
      </c>
      <c r="K70">
        <f ca="1">_xll.RiskNormal(D70,SQRT(G70),_xll.RiskCorrmat(betacorrelations,138))</f>
        <v>3.1619924858713398E-4</v>
      </c>
      <c r="L70">
        <f ca="1">_xll.RiskNormal(0,SQRT(H70))</f>
        <v>0</v>
      </c>
      <c r="M70" s="1">
        <f t="shared" si="6"/>
        <v>1.4419390120433109E-2</v>
      </c>
      <c r="N70" s="1">
        <f t="shared" si="7"/>
        <v>2.2735948843504236E-4</v>
      </c>
      <c r="O70" s="1">
        <f t="shared" si="8"/>
        <v>1.4871716659229692E-2</v>
      </c>
      <c r="P70" s="1">
        <f t="shared" si="9"/>
        <v>4.0503900873922559E-4</v>
      </c>
    </row>
    <row r="71" spans="1:16" x14ac:dyDescent="0.45">
      <c r="A71" t="s">
        <v>80</v>
      </c>
      <c r="B71">
        <v>26.9502250340601</v>
      </c>
      <c r="C71">
        <v>1.35243300346196E-2</v>
      </c>
      <c r="D71">
        <v>2.82817673551177E-4</v>
      </c>
      <c r="E71" s="1">
        <v>8.2133101046293908E-9</v>
      </c>
      <c r="F71" s="1">
        <v>-2.7931172907940099E-9</v>
      </c>
      <c r="G71" s="1">
        <v>1.23488647565198E-9</v>
      </c>
      <c r="H71" s="1">
        <v>4.6934015385198202E-7</v>
      </c>
      <c r="I71" s="2">
        <f t="shared" si="5"/>
        <v>-0.87703423408469061</v>
      </c>
      <c r="J71">
        <f ca="1">_xll.RiskNormal(C71,SQRT(E71),_xll.RiskCorrmat(betacorrelations,139))</f>
        <v>1.35243300346196E-2</v>
      </c>
      <c r="K71">
        <f ca="1">_xll.RiskNormal(D71,SQRT(G71),_xll.RiskCorrmat(betacorrelations,140))</f>
        <v>2.82817673551177E-4</v>
      </c>
      <c r="L71">
        <f ca="1">_xll.RiskNormal(0,SQRT(H71))</f>
        <v>0</v>
      </c>
      <c r="M71" s="1">
        <f t="shared" si="6"/>
        <v>1.3346700498511598E-2</v>
      </c>
      <c r="N71" s="1">
        <f t="shared" si="7"/>
        <v>2.1394140851840505E-4</v>
      </c>
      <c r="O71" s="1">
        <f t="shared" si="8"/>
        <v>1.3701959570727602E-2</v>
      </c>
      <c r="P71" s="1">
        <f t="shared" si="9"/>
        <v>3.5169393858394899E-4</v>
      </c>
    </row>
    <row r="72" spans="1:16" x14ac:dyDescent="0.45">
      <c r="A72" t="s">
        <v>41</v>
      </c>
      <c r="B72">
        <v>24.465430540924402</v>
      </c>
      <c r="C72">
        <v>1.09151400591176E-2</v>
      </c>
      <c r="D72">
        <v>3.4947077857422999E-4</v>
      </c>
      <c r="E72" s="1">
        <v>4.5709624121725E-9</v>
      </c>
      <c r="F72" s="1">
        <v>-1.69333642616E-9</v>
      </c>
      <c r="G72" s="1">
        <v>8.5254358655867802E-10</v>
      </c>
      <c r="H72" s="1">
        <v>2.6522840476268602E-7</v>
      </c>
      <c r="I72" s="2">
        <f t="shared" si="5"/>
        <v>-0.85779029815698049</v>
      </c>
      <c r="J72">
        <f ca="1">_xll.RiskNormal(C72,SQRT(E72),_xll.RiskCorrmat(betacorrelations,141))</f>
        <v>1.09151400591176E-2</v>
      </c>
      <c r="K72">
        <f ca="1">_xll.RiskNormal(D72,SQRT(G72),_xll.RiskCorrmat(betacorrelations,142))</f>
        <v>3.4947077857422999E-4</v>
      </c>
      <c r="L72">
        <f ca="1">_xll.RiskNormal(0,SQRT(H72))</f>
        <v>0</v>
      </c>
      <c r="M72" s="1">
        <f t="shared" si="6"/>
        <v>1.0782626628845035E-2</v>
      </c>
      <c r="N72" s="1">
        <f t="shared" si="7"/>
        <v>2.9224201445928675E-4</v>
      </c>
      <c r="O72" s="1">
        <f t="shared" si="8"/>
        <v>1.1047653489390165E-2</v>
      </c>
      <c r="P72" s="1">
        <f t="shared" si="9"/>
        <v>4.0669954268917323E-4</v>
      </c>
    </row>
    <row r="73" spans="1:16" x14ac:dyDescent="0.45">
      <c r="A73" t="s">
        <v>40</v>
      </c>
      <c r="B73">
        <v>15.080731299757</v>
      </c>
      <c r="C73">
        <v>1.07758492322383E-3</v>
      </c>
      <c r="D73">
        <v>4.6655421293543398E-4</v>
      </c>
      <c r="E73" s="1">
        <v>3.9902702232752802E-10</v>
      </c>
      <c r="F73" s="1">
        <v>-1.30177270585421E-10</v>
      </c>
      <c r="G73" s="1">
        <v>5.9117091230638201E-11</v>
      </c>
      <c r="H73" s="1">
        <v>4.8156165674656701E-8</v>
      </c>
      <c r="I73" s="2">
        <f t="shared" si="5"/>
        <v>-0.84757371380580604</v>
      </c>
      <c r="J73">
        <f ca="1">_xll.RiskNormal(C73,SQRT(E73),_xll.RiskCorrmat(betacorrelations,143))</f>
        <v>1.07758492322383E-3</v>
      </c>
      <c r="K73">
        <f ca="1">_xll.RiskNormal(D73,SQRT(G73),_xll.RiskCorrmat(betacorrelations,144))</f>
        <v>4.6655421293543398E-4</v>
      </c>
      <c r="L73">
        <f ca="1">_xll.RiskNormal(0,SQRT(H73))</f>
        <v>0</v>
      </c>
      <c r="M73" s="1">
        <f t="shared" si="6"/>
        <v>1.0384326281573408E-3</v>
      </c>
      <c r="N73" s="1">
        <f t="shared" si="7"/>
        <v>4.514842355740834E-4</v>
      </c>
      <c r="O73" s="1">
        <f t="shared" si="8"/>
        <v>1.1167372182903192E-3</v>
      </c>
      <c r="P73" s="1">
        <f t="shared" si="9"/>
        <v>4.8162419029678456E-4</v>
      </c>
    </row>
    <row r="74" spans="1:16" x14ac:dyDescent="0.45">
      <c r="A74" t="s">
        <v>39</v>
      </c>
      <c r="B74">
        <v>26.551189509894101</v>
      </c>
      <c r="C74">
        <v>1.26650692394326E-2</v>
      </c>
      <c r="D74">
        <v>4.4854744281668901E-4</v>
      </c>
      <c r="E74" s="1">
        <v>1.9945732656153099E-8</v>
      </c>
      <c r="F74" s="1">
        <v>-8.1540203017117606E-9</v>
      </c>
      <c r="G74" s="1">
        <v>4.4270089649645303E-9</v>
      </c>
      <c r="H74" s="1">
        <v>7.1589964289006399E-7</v>
      </c>
      <c r="I74" s="2">
        <f t="shared" si="5"/>
        <v>-0.86774394291695667</v>
      </c>
      <c r="J74">
        <f ca="1">_xll.RiskNormal(C74,SQRT(E74),_xll.RiskCorrmat(betacorrelations,145))</f>
        <v>1.26650692394326E-2</v>
      </c>
      <c r="K74">
        <f ca="1">_xll.RiskNormal(D74,SQRT(G74),_xll.RiskCorrmat(betacorrelations,146))</f>
        <v>4.4854744281668901E-4</v>
      </c>
      <c r="L74">
        <f ca="1">_xll.RiskNormal(0,SQRT(H74))</f>
        <v>0</v>
      </c>
      <c r="M74" s="1">
        <f t="shared" si="6"/>
        <v>1.2388259690153898E-2</v>
      </c>
      <c r="N74" s="1">
        <f t="shared" si="7"/>
        <v>3.181373295592896E-4</v>
      </c>
      <c r="O74" s="1">
        <f t="shared" si="8"/>
        <v>1.2941878788711302E-2</v>
      </c>
      <c r="P74" s="1">
        <f t="shared" si="9"/>
        <v>5.7895755607408842E-4</v>
      </c>
    </row>
    <row r="75" spans="1:16" x14ac:dyDescent="0.45">
      <c r="A75" t="s">
        <v>90</v>
      </c>
      <c r="B75">
        <v>20.267921129055999</v>
      </c>
      <c r="C75">
        <v>9.9562180192916301E-3</v>
      </c>
      <c r="D75">
        <v>3.4428288802428102E-4</v>
      </c>
      <c r="E75" s="1">
        <v>7.3306183057264501E-9</v>
      </c>
      <c r="F75" s="1">
        <v>-2.4283053292015998E-9</v>
      </c>
      <c r="G75" s="1">
        <v>1.0469045591822501E-9</v>
      </c>
      <c r="H75" s="1">
        <v>4.63709084231019E-7</v>
      </c>
      <c r="I75" s="2">
        <f t="shared" si="5"/>
        <v>-0.87655555003955543</v>
      </c>
      <c r="J75">
        <f ca="1">_xll.RiskNormal(C75,SQRT(E75),_xll.RiskCorrmat(betacorrelations,147))</f>
        <v>9.9562180192916301E-3</v>
      </c>
      <c r="K75">
        <f ca="1">_xll.RiskNormal(D75,SQRT(G75),_xll.RiskCorrmat(betacorrelations,148))</f>
        <v>3.4428288802428102E-4</v>
      </c>
      <c r="L75">
        <f ca="1">_xll.RiskNormal(0,SQRT(H75))</f>
        <v>0</v>
      </c>
      <c r="M75" s="1">
        <f t="shared" si="6"/>
        <v>9.7884047204048058E-3</v>
      </c>
      <c r="N75" s="1">
        <f t="shared" si="7"/>
        <v>2.8086531510829399E-4</v>
      </c>
      <c r="O75" s="1">
        <f t="shared" si="8"/>
        <v>1.0124031318178454E-2</v>
      </c>
      <c r="P75" s="1">
        <f t="shared" si="9"/>
        <v>4.0770046094026804E-4</v>
      </c>
    </row>
    <row r="76" spans="1:16" x14ac:dyDescent="0.45">
      <c r="A76" t="s">
        <v>83</v>
      </c>
      <c r="B76">
        <v>26.246463552877898</v>
      </c>
      <c r="C76">
        <v>1.33655458062592E-2</v>
      </c>
      <c r="D76">
        <v>3.4199750038591198E-4</v>
      </c>
      <c r="E76" s="1">
        <v>1.4171987612936099E-8</v>
      </c>
      <c r="F76" s="1">
        <v>-5.1735515001268199E-9</v>
      </c>
      <c r="G76" s="1">
        <v>2.4719008619768601E-9</v>
      </c>
      <c r="H76" s="1">
        <v>5.7752875184096097E-7</v>
      </c>
      <c r="I76" s="2">
        <f t="shared" si="5"/>
        <v>-0.8740934585466088</v>
      </c>
      <c r="J76">
        <f ca="1">_xll.RiskNormal(C76,SQRT(E76),_xll.RiskCorrmat(betacorrelations,149))</f>
        <v>1.33655458062592E-2</v>
      </c>
      <c r="K76">
        <f ca="1">_xll.RiskNormal(D76,SQRT(G76),_xll.RiskCorrmat(betacorrelations,150))</f>
        <v>3.4199750038591198E-4</v>
      </c>
      <c r="L76">
        <f ca="1">_xll.RiskNormal(0,SQRT(H76))</f>
        <v>0</v>
      </c>
      <c r="M76" s="1">
        <f t="shared" si="6"/>
        <v>1.3132215337580428E-2</v>
      </c>
      <c r="N76" s="1">
        <f t="shared" si="7"/>
        <v>2.445497997903089E-4</v>
      </c>
      <c r="O76" s="1">
        <f t="shared" si="8"/>
        <v>1.3598876274937971E-2</v>
      </c>
      <c r="P76" s="1">
        <f t="shared" si="9"/>
        <v>4.3944520098151507E-4</v>
      </c>
    </row>
    <row r="77" spans="1:16" x14ac:dyDescent="0.45">
      <c r="A77" t="s">
        <v>84</v>
      </c>
      <c r="B77">
        <v>27.147883006596299</v>
      </c>
      <c r="C77">
        <v>1.47156854017459E-2</v>
      </c>
      <c r="D77">
        <v>5.7672757238200103E-4</v>
      </c>
      <c r="E77" s="1">
        <v>4.1937525481487103E-8</v>
      </c>
      <c r="F77" s="1">
        <v>-1.47424092008419E-8</v>
      </c>
      <c r="G77" s="1">
        <v>6.9187697147643699E-9</v>
      </c>
      <c r="H77" s="1">
        <v>1.27197841996838E-6</v>
      </c>
      <c r="I77" s="2">
        <f t="shared" si="5"/>
        <v>-0.86547120494235674</v>
      </c>
      <c r="J77">
        <f ca="1">_xll.RiskNormal(C77,SQRT(E77),_xll.RiskCorrmat(betacorrelations,151))</f>
        <v>1.47156854017459E-2</v>
      </c>
      <c r="K77">
        <f ca="1">_xll.RiskNormal(D77,SQRT(G77),_xll.RiskCorrmat(betacorrelations,152))</f>
        <v>5.7672757238200103E-4</v>
      </c>
      <c r="L77">
        <f ca="1">_xll.RiskNormal(0,SQRT(H77))</f>
        <v>0</v>
      </c>
      <c r="M77" s="1">
        <f t="shared" si="6"/>
        <v>1.4314303790446029E-2</v>
      </c>
      <c r="N77" s="1">
        <f t="shared" si="7"/>
        <v>4.1369645346221078E-4</v>
      </c>
      <c r="O77" s="1">
        <f t="shared" si="8"/>
        <v>1.5117067013045771E-2</v>
      </c>
      <c r="P77" s="1">
        <f t="shared" si="9"/>
        <v>7.3975869130179128E-4</v>
      </c>
    </row>
    <row r="78" spans="1:16" x14ac:dyDescent="0.45">
      <c r="A78" t="s">
        <v>103</v>
      </c>
      <c r="B78">
        <v>23.069310745810998</v>
      </c>
      <c r="C78">
        <v>1.00947433002308E-2</v>
      </c>
      <c r="D78">
        <v>3.2893671019873603E-4</v>
      </c>
      <c r="E78" s="1">
        <v>8.0739474959752897E-9</v>
      </c>
      <c r="F78" s="1">
        <v>-3.0226180210602201E-9</v>
      </c>
      <c r="G78" s="1">
        <v>1.42726351032939E-9</v>
      </c>
      <c r="H78" s="1">
        <v>3.7361063365598201E-7</v>
      </c>
      <c r="I78" s="2">
        <f t="shared" si="5"/>
        <v>-0.89040630279126565</v>
      </c>
      <c r="J78">
        <f ca="1">_xll.RiskNormal(C78,SQRT(E78),_xll.RiskCorrmat(betacorrelations,153))</f>
        <v>1.00947433002308E-2</v>
      </c>
      <c r="K78">
        <f ca="1">_xll.RiskNormal(D78,SQRT(G78),_xll.RiskCorrmat(betacorrelations,154))</f>
        <v>3.2893671019873603E-4</v>
      </c>
      <c r="L78">
        <f ca="1">_xll.RiskNormal(0,SQRT(H78))</f>
        <v>0</v>
      </c>
      <c r="M78" s="1">
        <f t="shared" si="6"/>
        <v>9.9186272115263929E-3</v>
      </c>
      <c r="N78" s="1">
        <f t="shared" si="7"/>
        <v>2.5488959343325095E-4</v>
      </c>
      <c r="O78" s="1">
        <f t="shared" si="8"/>
        <v>1.0270859388935207E-2</v>
      </c>
      <c r="P78" s="1">
        <f t="shared" si="9"/>
        <v>4.029838269642211E-4</v>
      </c>
    </row>
    <row r="79" spans="1:16" x14ac:dyDescent="0.45">
      <c r="A79" t="s">
        <v>16</v>
      </c>
      <c r="B79">
        <v>23.125701879976901</v>
      </c>
      <c r="C79">
        <v>9.9561858082455705E-3</v>
      </c>
      <c r="D79">
        <v>3.3636928314884599E-4</v>
      </c>
      <c r="E79" s="1">
        <v>7.1958628913045497E-9</v>
      </c>
      <c r="F79" s="1">
        <v>-2.4827027375276299E-9</v>
      </c>
      <c r="G79" s="1">
        <v>1.11503809723016E-9</v>
      </c>
      <c r="H79" s="1">
        <v>5.3404038968858799E-7</v>
      </c>
      <c r="I79" s="2">
        <f t="shared" si="5"/>
        <v>-0.87647277418877767</v>
      </c>
      <c r="J79">
        <f ca="1">_xll.RiskNormal(C79,SQRT(E79),_xll.RiskCorrmat(betacorrelations,155))</f>
        <v>9.9561858082455705E-3</v>
      </c>
      <c r="K79">
        <f ca="1">_xll.RiskNormal(D79,SQRT(G79),_xll.RiskCorrmat(betacorrelations,156))</f>
        <v>3.3636928314884599E-4</v>
      </c>
      <c r="L79">
        <f ca="1">_xll.RiskNormal(0,SQRT(H79))</f>
        <v>0</v>
      </c>
      <c r="M79" s="1">
        <f t="shared" si="6"/>
        <v>9.7899220813438929E-3</v>
      </c>
      <c r="N79" s="1">
        <f t="shared" si="7"/>
        <v>2.7092059825511126E-4</v>
      </c>
      <c r="O79" s="1">
        <f t="shared" si="8"/>
        <v>1.0122449535147248E-2</v>
      </c>
      <c r="P79" s="1">
        <f t="shared" si="9"/>
        <v>4.0181796804258073E-4</v>
      </c>
    </row>
    <row r="80" spans="1:16" x14ac:dyDescent="0.45">
      <c r="A80" t="s">
        <v>174</v>
      </c>
      <c r="B80">
        <v>11.077653279297</v>
      </c>
      <c r="C80">
        <v>-2.0217766224818498E-3</v>
      </c>
      <c r="D80">
        <v>4.7133368655995098E-4</v>
      </c>
      <c r="E80" s="1">
        <v>2.8998708622502397E-10</v>
      </c>
      <c r="F80" s="1">
        <v>-8.1952922300610597E-11</v>
      </c>
      <c r="G80" s="1">
        <v>3.0046473359296002E-11</v>
      </c>
      <c r="H80" s="1">
        <v>2.63230078048663E-8</v>
      </c>
      <c r="I80" s="2">
        <f t="shared" si="5"/>
        <v>-0.87796734435481272</v>
      </c>
      <c r="J80">
        <f ca="1">_xll.RiskNormal(C80,SQRT(E80),_xll.RiskCorrmat(betacorrelations,157))</f>
        <v>-2.0217766224818498E-3</v>
      </c>
      <c r="K80">
        <f ca="1">_xll.RiskNormal(D80,SQRT(G80),_xll.RiskCorrmat(betacorrelations,158))</f>
        <v>4.7133368655995098E-4</v>
      </c>
      <c r="L80">
        <f ca="1">_xll.RiskNormal(0,SQRT(H80))</f>
        <v>0</v>
      </c>
      <c r="M80" s="1">
        <f t="shared" si="6"/>
        <v>-2.0551534765942741E-3</v>
      </c>
      <c r="N80" s="1">
        <f t="shared" si="7"/>
        <v>4.6059001251160648E-4</v>
      </c>
      <c r="O80" s="1">
        <f t="shared" si="8"/>
        <v>-1.9883997683694254E-3</v>
      </c>
      <c r="P80" s="1">
        <f t="shared" si="9"/>
        <v>4.8207736060829548E-4</v>
      </c>
    </row>
    <row r="81" spans="1:16" x14ac:dyDescent="0.45">
      <c r="A81" t="s">
        <v>181</v>
      </c>
      <c r="B81">
        <v>25.641181976678201</v>
      </c>
      <c r="C81">
        <v>1.14820204643539E-2</v>
      </c>
      <c r="D81">
        <v>4.0061106654137798E-4</v>
      </c>
      <c r="E81" s="1">
        <v>1.16397883762376E-8</v>
      </c>
      <c r="F81" s="1">
        <v>-4.23860381712831E-9</v>
      </c>
      <c r="G81" s="1">
        <v>2.0473628821457998E-9</v>
      </c>
      <c r="H81" s="1">
        <v>4.8705944241949996E-7</v>
      </c>
      <c r="I81" s="2">
        <f t="shared" si="5"/>
        <v>-0.86826614979322458</v>
      </c>
      <c r="J81">
        <f ca="1">_xll.RiskNormal(C81,SQRT(E81),_xll.RiskCorrmat(betacorrelations,159))</f>
        <v>1.14820204643539E-2</v>
      </c>
      <c r="K81">
        <f ca="1">_xll.RiskNormal(D81,SQRT(G81),_xll.RiskCorrmat(betacorrelations,160))</f>
        <v>4.0061106654137798E-4</v>
      </c>
      <c r="L81">
        <f ca="1">_xll.RiskNormal(0,SQRT(H81))</f>
        <v>0</v>
      </c>
      <c r="M81" s="1">
        <f t="shared" si="6"/>
        <v>1.1270560276549779E-2</v>
      </c>
      <c r="N81" s="1">
        <f t="shared" si="7"/>
        <v>3.119253898621571E-4</v>
      </c>
      <c r="O81" s="1">
        <f t="shared" si="8"/>
        <v>1.1693480652158021E-2</v>
      </c>
      <c r="P81" s="1">
        <f t="shared" si="9"/>
        <v>4.8929674322059885E-4</v>
      </c>
    </row>
    <row r="82" spans="1:16" x14ac:dyDescent="0.45">
      <c r="A82" t="s">
        <v>85</v>
      </c>
      <c r="B82">
        <v>10.2435217553138</v>
      </c>
      <c r="C82">
        <v>-2.6703941314167902E-3</v>
      </c>
      <c r="D82">
        <v>4.9157968431920603E-4</v>
      </c>
      <c r="E82" s="1">
        <v>4.6361441750935799E-10</v>
      </c>
      <c r="F82" s="1">
        <v>-1.26502649573251E-10</v>
      </c>
      <c r="G82" s="1">
        <v>4.3827603591143699E-11</v>
      </c>
      <c r="H82" s="1">
        <v>3.3269044690679499E-8</v>
      </c>
      <c r="I82" s="2">
        <f t="shared" si="5"/>
        <v>-0.88745694566104505</v>
      </c>
      <c r="J82">
        <f ca="1">_xll.RiskNormal(C82,SQRT(E82),_xll.RiskCorrmat(betacorrelations,161))</f>
        <v>-2.6703941314167902E-3</v>
      </c>
      <c r="K82">
        <f ca="1">_xll.RiskNormal(D82,SQRT(G82),_xll.RiskCorrmat(betacorrelations,162))</f>
        <v>4.9157968431920603E-4</v>
      </c>
      <c r="L82">
        <f ca="1">_xll.RiskNormal(0,SQRT(H82))</f>
        <v>0</v>
      </c>
      <c r="M82" s="1">
        <f t="shared" si="6"/>
        <v>-2.7125962776454356E-3</v>
      </c>
      <c r="N82" s="1">
        <f t="shared" si="7"/>
        <v>4.786040100802411E-4</v>
      </c>
      <c r="O82" s="1">
        <f t="shared" si="8"/>
        <v>-2.6281919851881448E-3</v>
      </c>
      <c r="P82" s="1">
        <f t="shared" si="9"/>
        <v>5.0455535855817096E-4</v>
      </c>
    </row>
    <row r="83" spans="1:16" x14ac:dyDescent="0.45">
      <c r="A83" t="s">
        <v>106</v>
      </c>
      <c r="B83">
        <v>26.4040897808807</v>
      </c>
      <c r="C83">
        <v>1.2482967345309799E-2</v>
      </c>
      <c r="D83">
        <v>5.51846736809507E-4</v>
      </c>
      <c r="E83" s="1">
        <v>2.0029835563962899E-8</v>
      </c>
      <c r="F83" s="1">
        <v>-8.2683293005655607E-9</v>
      </c>
      <c r="G83" s="1">
        <v>4.8604000211874401E-9</v>
      </c>
      <c r="H83" s="1">
        <v>4.8972335308082701E-7</v>
      </c>
      <c r="I83" s="2">
        <f t="shared" si="5"/>
        <v>-0.83799816148398354</v>
      </c>
      <c r="J83">
        <f ca="1">_xll.RiskNormal(C83,SQRT(E83),_xll.RiskCorrmat(betacorrelations,163))</f>
        <v>1.2482967345309799E-2</v>
      </c>
      <c r="K83">
        <f ca="1">_xll.RiskNormal(D83,SQRT(G83),_xll.RiskCorrmat(betacorrelations,164))</f>
        <v>5.51846736809507E-4</v>
      </c>
      <c r="L83">
        <f ca="1">_xll.RiskNormal(0,SQRT(H83))</f>
        <v>0</v>
      </c>
      <c r="M83" s="1">
        <f t="shared" si="6"/>
        <v>1.2205574814223399E-2</v>
      </c>
      <c r="N83" s="1">
        <f t="shared" si="7"/>
        <v>4.1520226117513066E-4</v>
      </c>
      <c r="O83" s="1">
        <f t="shared" si="8"/>
        <v>1.2760359876396199E-2</v>
      </c>
      <c r="P83" s="1">
        <f t="shared" si="9"/>
        <v>6.8849121244388329E-4</v>
      </c>
    </row>
    <row r="84" spans="1:16" x14ac:dyDescent="0.45">
      <c r="A84" t="s">
        <v>71</v>
      </c>
      <c r="B84">
        <v>25.6710499969777</v>
      </c>
      <c r="C84">
        <v>1.12097751745832E-2</v>
      </c>
      <c r="D84">
        <v>2.89945367093369E-4</v>
      </c>
      <c r="E84" s="1">
        <v>7.05251772083849E-9</v>
      </c>
      <c r="F84" s="1">
        <v>-2.3274457274328E-9</v>
      </c>
      <c r="G84" s="1">
        <v>1.0170298672658E-9</v>
      </c>
      <c r="H84" s="1">
        <v>4.84096512404238E-7</v>
      </c>
      <c r="I84" s="2">
        <f t="shared" si="5"/>
        <v>-0.86904169998981562</v>
      </c>
      <c r="J84">
        <f ca="1">_xll.RiskNormal(C84,SQRT(E84),_xll.RiskCorrmat(betacorrelations,165))</f>
        <v>1.12097751745832E-2</v>
      </c>
      <c r="K84">
        <f ca="1">_xll.RiskNormal(D84,SQRT(G84),_xll.RiskCorrmat(betacorrelations,166))</f>
        <v>2.89945367093369E-4</v>
      </c>
      <c r="L84">
        <f ca="1">_xll.RiskNormal(0,SQRT(H84))</f>
        <v>0</v>
      </c>
      <c r="M84" s="1">
        <f t="shared" si="6"/>
        <v>1.1045175806187166E-2</v>
      </c>
      <c r="N84" s="1">
        <f t="shared" si="7"/>
        <v>2.2743919189372732E-4</v>
      </c>
      <c r="O84" s="1">
        <f t="shared" si="8"/>
        <v>1.1374374542979234E-2</v>
      </c>
      <c r="P84" s="1">
        <f t="shared" si="9"/>
        <v>3.5245154229301067E-4</v>
      </c>
    </row>
    <row r="85" spans="1:16" x14ac:dyDescent="0.45">
      <c r="A85" t="s">
        <v>32</v>
      </c>
      <c r="B85">
        <v>9.4059967780055</v>
      </c>
      <c r="C85">
        <v>-3.3650236779633499E-3</v>
      </c>
      <c r="D85">
        <v>3.9792986864558801E-4</v>
      </c>
      <c r="E85" s="1">
        <v>1.68781617455288E-9</v>
      </c>
      <c r="F85" s="1">
        <v>-7.2725841203521604E-10</v>
      </c>
      <c r="G85" s="1">
        <v>4.0287966536129198E-10</v>
      </c>
      <c r="H85" s="1">
        <v>3.8545568084833699E-8</v>
      </c>
      <c r="I85" s="2">
        <f t="shared" si="5"/>
        <v>-0.88193891755300868</v>
      </c>
      <c r="J85">
        <f ca="1">_xll.RiskNormal(C85,SQRT(E85),_xll.RiskCorrmat(betacorrelations,167))</f>
        <v>-3.3650236779633499E-3</v>
      </c>
      <c r="K85">
        <f ca="1">_xll.RiskNormal(D85,SQRT(G85),_xll.RiskCorrmat(betacorrelations,168))</f>
        <v>3.9792986864558801E-4</v>
      </c>
      <c r="L85">
        <f ca="1">_xll.RiskNormal(0,SQRT(H85))</f>
        <v>0</v>
      </c>
      <c r="M85" s="1">
        <f t="shared" si="6"/>
        <v>-3.4455464363373793E-3</v>
      </c>
      <c r="N85" s="1">
        <f t="shared" si="7"/>
        <v>3.5858901808981153E-4</v>
      </c>
      <c r="O85" s="1">
        <f t="shared" si="8"/>
        <v>-3.2845009195893206E-3</v>
      </c>
      <c r="P85" s="1">
        <f t="shared" si="9"/>
        <v>4.372707192013645E-4</v>
      </c>
    </row>
    <row r="86" spans="1:16" x14ac:dyDescent="0.45">
      <c r="A86" t="s">
        <v>33</v>
      </c>
      <c r="B86">
        <v>15.4679044195889</v>
      </c>
      <c r="C86">
        <v>3.84456389709275E-3</v>
      </c>
      <c r="D86">
        <v>4.3689286863175998E-4</v>
      </c>
      <c r="E86" s="1">
        <v>1.46212967396846E-9</v>
      </c>
      <c r="F86" s="1">
        <v>-3.94347876712037E-10</v>
      </c>
      <c r="G86" s="1">
        <v>1.4334823668934E-10</v>
      </c>
      <c r="H86" s="1">
        <v>1.7665817448778E-7</v>
      </c>
      <c r="I86" s="2">
        <f t="shared" si="5"/>
        <v>-0.86137127264250879</v>
      </c>
      <c r="J86">
        <f ca="1">_xll.RiskNormal(C86,SQRT(E86),_xll.RiskCorrmat(betacorrelations,169))</f>
        <v>3.84456389709275E-3</v>
      </c>
      <c r="K86">
        <f ca="1">_xll.RiskNormal(D86,SQRT(G86),_xll.RiskCorrmat(betacorrelations,170))</f>
        <v>4.3689286863175998E-4</v>
      </c>
      <c r="L86">
        <f ca="1">_xll.RiskNormal(0,SQRT(H86))</f>
        <v>0</v>
      </c>
      <c r="M86" s="1">
        <f t="shared" si="6"/>
        <v>3.7696178007600042E-3</v>
      </c>
      <c r="N86" s="1">
        <f t="shared" si="7"/>
        <v>4.1342615633400151E-4</v>
      </c>
      <c r="O86" s="1">
        <f t="shared" si="8"/>
        <v>3.9195099934254962E-3</v>
      </c>
      <c r="P86" s="1">
        <f t="shared" si="9"/>
        <v>4.6035958092951844E-4</v>
      </c>
    </row>
    <row r="87" spans="1:16" x14ac:dyDescent="0.45">
      <c r="A87" t="s">
        <v>31</v>
      </c>
      <c r="B87">
        <v>22.8023104323136</v>
      </c>
      <c r="C87">
        <v>8.8208829638817994E-3</v>
      </c>
      <c r="D87">
        <v>3.9897074682813401E-4</v>
      </c>
      <c r="E87" s="1">
        <v>4.3933414065985997E-9</v>
      </c>
      <c r="F87" s="1">
        <v>-1.09962077289974E-9</v>
      </c>
      <c r="G87" s="1">
        <v>3.6633283300933901E-10</v>
      </c>
      <c r="H87" s="1">
        <v>4.34702560813782E-7</v>
      </c>
      <c r="I87" s="2">
        <f t="shared" si="5"/>
        <v>-0.86677731463954211</v>
      </c>
      <c r="J87">
        <f ca="1">_xll.RiskNormal(C87,SQRT(E87),_xll.RiskCorrmat(betacorrelations,171))</f>
        <v>8.8208829638817994E-3</v>
      </c>
      <c r="K87">
        <f ca="1">_xll.RiskNormal(D87,SQRT(G87),_xll.RiskCorrmat(betacorrelations,172))</f>
        <v>3.9897074682813401E-4</v>
      </c>
      <c r="L87">
        <f ca="1">_xll.RiskNormal(0,SQRT(H87))</f>
        <v>0</v>
      </c>
      <c r="M87" s="1">
        <f t="shared" si="6"/>
        <v>8.6909696837769966E-3</v>
      </c>
      <c r="N87" s="1">
        <f t="shared" si="7"/>
        <v>3.6145669331096958E-4</v>
      </c>
      <c r="O87" s="1">
        <f t="shared" si="8"/>
        <v>8.9507962439866022E-3</v>
      </c>
      <c r="P87" s="1">
        <f t="shared" si="9"/>
        <v>4.3648480034529845E-4</v>
      </c>
    </row>
    <row r="88" spans="1:16" x14ac:dyDescent="0.45">
      <c r="A88" t="s">
        <v>124</v>
      </c>
      <c r="B88">
        <v>3.0161086075891599</v>
      </c>
      <c r="C88">
        <v>-1.12742855136944E-2</v>
      </c>
      <c r="D88">
        <v>4.4217455357130499E-4</v>
      </c>
      <c r="E88" s="1">
        <v>2.0705940818377099E-8</v>
      </c>
      <c r="F88" s="1">
        <v>-5.9783066204543799E-9</v>
      </c>
      <c r="G88" s="1">
        <v>2.0513800202814301E-9</v>
      </c>
      <c r="H88" s="1">
        <v>8.9745572511890796E-7</v>
      </c>
      <c r="I88" s="2">
        <f t="shared" si="5"/>
        <v>-0.91729207389160028</v>
      </c>
      <c r="J88">
        <f ca="1">_xll.RiskNormal(C88,SQRT(E88),_xll.RiskCorrmat(betacorrelations,173))</f>
        <v>-1.12742855136944E-2</v>
      </c>
      <c r="K88">
        <f ca="1">_xll.RiskNormal(D88,SQRT(G88),_xll.RiskCorrmat(betacorrelations,174))</f>
        <v>4.4217455357130499E-4</v>
      </c>
      <c r="L88">
        <f ca="1">_xll.RiskNormal(0,SQRT(H88))</f>
        <v>0</v>
      </c>
      <c r="M88" s="1">
        <f t="shared" si="6"/>
        <v>-1.1556320870073484E-2</v>
      </c>
      <c r="N88" s="1">
        <f t="shared" si="7"/>
        <v>3.534019142846805E-4</v>
      </c>
      <c r="O88" s="1">
        <f t="shared" si="8"/>
        <v>-1.0992250157315316E-2</v>
      </c>
      <c r="P88" s="1">
        <f t="shared" si="9"/>
        <v>5.3094719285792943E-4</v>
      </c>
    </row>
    <row r="89" spans="1:16" x14ac:dyDescent="0.45">
      <c r="A89" t="s">
        <v>123</v>
      </c>
      <c r="B89">
        <v>20.251872476589998</v>
      </c>
      <c r="C89">
        <v>7.2518113952910798E-3</v>
      </c>
      <c r="D89">
        <v>4.6800909630947903E-4</v>
      </c>
      <c r="E89" s="1">
        <v>3.9561974084929E-9</v>
      </c>
      <c r="F89" s="1">
        <v>-1.25269444553172E-9</v>
      </c>
      <c r="G89" s="1">
        <v>5.3223029238901205E-10</v>
      </c>
      <c r="H89" s="1">
        <v>2.4341562418101099E-7</v>
      </c>
      <c r="I89" s="2">
        <f t="shared" si="5"/>
        <v>-0.86328934371889676</v>
      </c>
      <c r="J89">
        <f ca="1">_xll.RiskNormal(C89,SQRT(E89),_xll.RiskCorrmat(betacorrelations,175))</f>
        <v>7.2518113952910798E-3</v>
      </c>
      <c r="K89">
        <f ca="1">_xll.RiskNormal(D89,SQRT(G89),_xll.RiskCorrmat(betacorrelations,176))</f>
        <v>4.6800909630947903E-4</v>
      </c>
      <c r="L89">
        <f ca="1">_xll.RiskNormal(0,SQRT(H89))</f>
        <v>0</v>
      </c>
      <c r="M89" s="1">
        <f t="shared" si="6"/>
        <v>7.128530707572093E-3</v>
      </c>
      <c r="N89" s="1">
        <f t="shared" si="7"/>
        <v>4.2279166724455285E-4</v>
      </c>
      <c r="O89" s="1">
        <f t="shared" si="8"/>
        <v>7.3750920830100665E-3</v>
      </c>
      <c r="P89" s="1">
        <f t="shared" si="9"/>
        <v>5.132265253744052E-4</v>
      </c>
    </row>
    <row r="90" spans="1:16" x14ac:dyDescent="0.45">
      <c r="A90" t="s">
        <v>54</v>
      </c>
      <c r="B90">
        <v>12.997147328321001</v>
      </c>
      <c r="C90">
        <v>-8.8960397132196002E-4</v>
      </c>
      <c r="D90">
        <v>4.5734289567145699E-4</v>
      </c>
      <c r="E90" s="1">
        <v>1.19708743704086E-10</v>
      </c>
      <c r="F90" s="1">
        <v>-3.8015024832233302E-11</v>
      </c>
      <c r="G90" s="1">
        <v>1.6372185579870501E-11</v>
      </c>
      <c r="H90" s="1">
        <v>1.8445010174949901E-8</v>
      </c>
      <c r="I90" s="2">
        <f t="shared" si="5"/>
        <v>-0.85869515519965611</v>
      </c>
      <c r="J90">
        <f ca="1">_xll.RiskNormal(C90,SQRT(E90),_xll.RiskCorrmat(betacorrelations,177))</f>
        <v>-8.8960397132196002E-4</v>
      </c>
      <c r="K90">
        <f ca="1">_xll.RiskNormal(D90,SQRT(G90),_xll.RiskCorrmat(betacorrelations,178))</f>
        <v>4.5734289567145699E-4</v>
      </c>
      <c r="L90">
        <f ca="1">_xll.RiskNormal(0,SQRT(H90))</f>
        <v>0</v>
      </c>
      <c r="M90" s="1">
        <f t="shared" si="6"/>
        <v>-9.1104862356473644E-4</v>
      </c>
      <c r="N90" s="1">
        <f t="shared" si="7"/>
        <v>4.4941223440497796E-4</v>
      </c>
      <c r="O90" s="1">
        <f t="shared" si="8"/>
        <v>-8.6815931907918361E-4</v>
      </c>
      <c r="P90" s="1">
        <f t="shared" si="9"/>
        <v>4.6527355693793602E-4</v>
      </c>
    </row>
    <row r="91" spans="1:16" x14ac:dyDescent="0.45">
      <c r="A91" t="s">
        <v>162</v>
      </c>
      <c r="B91">
        <v>25.447993050952601</v>
      </c>
      <c r="C91">
        <v>1.1426165566817199E-2</v>
      </c>
      <c r="D91">
        <v>3.6136988663369003E-4</v>
      </c>
      <c r="E91" s="1">
        <v>1.0546338897689199E-8</v>
      </c>
      <c r="F91" s="1">
        <v>-4.1668068195996598E-9</v>
      </c>
      <c r="G91" s="1">
        <v>2.2246572855257798E-9</v>
      </c>
      <c r="H91" s="1">
        <v>4.0792130524674502E-7</v>
      </c>
      <c r="I91" s="2">
        <f t="shared" si="5"/>
        <v>-0.86024260257381191</v>
      </c>
      <c r="J91">
        <f ca="1">_xll.RiskNormal(C91,SQRT(E91),_xll.RiskCorrmat(betacorrelations,179))</f>
        <v>1.1426165566817199E-2</v>
      </c>
      <c r="K91">
        <f ca="1">_xll.RiskNormal(D91,SQRT(G91),_xll.RiskCorrmat(betacorrelations,180))</f>
        <v>3.6136988663369003E-4</v>
      </c>
      <c r="L91">
        <f ca="1">_xll.RiskNormal(0,SQRT(H91))</f>
        <v>0</v>
      </c>
      <c r="M91" s="1">
        <f t="shared" si="6"/>
        <v>1.1224882642779011E-2</v>
      </c>
      <c r="N91" s="1">
        <f t="shared" si="7"/>
        <v>2.6892399203541249E-4</v>
      </c>
      <c r="O91" s="1">
        <f t="shared" si="8"/>
        <v>1.1627448490855388E-2</v>
      </c>
      <c r="P91" s="1">
        <f t="shared" si="9"/>
        <v>4.5381578123196756E-4</v>
      </c>
    </row>
    <row r="92" spans="1:16" x14ac:dyDescent="0.45">
      <c r="A92" t="s">
        <v>107</v>
      </c>
      <c r="B92">
        <v>18.787127235951399</v>
      </c>
      <c r="C92">
        <v>6.14006105256781E-3</v>
      </c>
      <c r="D92">
        <v>4.7445331643758502E-4</v>
      </c>
      <c r="E92" s="1">
        <v>3.4619241197513E-9</v>
      </c>
      <c r="F92" s="1">
        <v>-1.02825268617459E-9</v>
      </c>
      <c r="G92" s="1">
        <v>4.1458655477731199E-10</v>
      </c>
      <c r="H92" s="1">
        <v>2.71643627869951E-7</v>
      </c>
      <c r="I92" s="2">
        <f t="shared" si="5"/>
        <v>-0.85828885587549442</v>
      </c>
      <c r="J92">
        <f ca="1">_xll.RiskNormal(C92,SQRT(E92),_xll.RiskCorrmat(betacorrelations,181))</f>
        <v>6.14006105256781E-3</v>
      </c>
      <c r="K92">
        <f ca="1">_xll.RiskNormal(D92,SQRT(G92),_xll.RiskCorrmat(betacorrelations,182))</f>
        <v>4.7445331643758502E-4</v>
      </c>
      <c r="L92">
        <f ca="1">_xll.RiskNormal(0,SQRT(H92))</f>
        <v>0</v>
      </c>
      <c r="M92" s="1">
        <f t="shared" si="6"/>
        <v>6.0247383414548791E-3</v>
      </c>
      <c r="N92" s="1">
        <f t="shared" si="7"/>
        <v>4.3454497509354365E-4</v>
      </c>
      <c r="O92" s="1">
        <f t="shared" si="8"/>
        <v>6.2553837636807408E-3</v>
      </c>
      <c r="P92" s="1">
        <f t="shared" si="9"/>
        <v>5.1436165778162633E-4</v>
      </c>
    </row>
    <row r="93" spans="1:16" x14ac:dyDescent="0.45">
      <c r="A93" t="s">
        <v>192</v>
      </c>
      <c r="B93">
        <v>14.076219776368401</v>
      </c>
      <c r="C93">
        <v>-2.3584480883532899E-3</v>
      </c>
      <c r="D93">
        <v>5.3054338237116096E-4</v>
      </c>
      <c r="E93" s="1">
        <v>4.5613250286369502E-10</v>
      </c>
      <c r="F93" s="1">
        <v>-1.45991766652599E-10</v>
      </c>
      <c r="G93" s="1">
        <v>6.1131758162750997E-11</v>
      </c>
      <c r="H93" s="1">
        <v>1.8038113004396E-8</v>
      </c>
      <c r="I93" s="2">
        <f t="shared" si="5"/>
        <v>-0.87427771954063283</v>
      </c>
      <c r="J93">
        <f ca="1">_xll.RiskNormal(C93,SQRT(E93),_xll.RiskCorrmat(betacorrelations,183))</f>
        <v>-2.3584480883532899E-3</v>
      </c>
      <c r="K93">
        <f ca="1">_xll.RiskNormal(D93,SQRT(G93),_xll.RiskCorrmat(betacorrelations,184))</f>
        <v>5.3054338237116096E-4</v>
      </c>
      <c r="L93">
        <f ca="1">_xll.RiskNormal(0,SQRT(H93))</f>
        <v>0</v>
      </c>
      <c r="M93" s="1">
        <f t="shared" si="6"/>
        <v>-2.4003083155743786E-3</v>
      </c>
      <c r="N93" s="1">
        <f t="shared" si="7"/>
        <v>5.1521876941820115E-4</v>
      </c>
      <c r="O93" s="1">
        <f t="shared" si="8"/>
        <v>-2.3165878611322013E-3</v>
      </c>
      <c r="P93" s="1">
        <f t="shared" si="9"/>
        <v>5.4586799532412077E-4</v>
      </c>
    </row>
    <row r="94" spans="1:16" x14ac:dyDescent="0.45">
      <c r="A94" t="s">
        <v>24</v>
      </c>
      <c r="B94">
        <v>6.6770847594579203</v>
      </c>
      <c r="C94">
        <v>-6.9871265827173602E-3</v>
      </c>
      <c r="D94">
        <v>4.8689772718748002E-4</v>
      </c>
      <c r="E94" s="1">
        <v>2.6810516952074099E-9</v>
      </c>
      <c r="F94" s="1">
        <v>-5.15301985875023E-10</v>
      </c>
      <c r="G94" s="1">
        <v>1.2110969406170599E-10</v>
      </c>
      <c r="H94" s="1">
        <v>2.3209448226734201E-7</v>
      </c>
      <c r="I94" s="2">
        <f t="shared" si="5"/>
        <v>-0.90431507084967455</v>
      </c>
      <c r="J94">
        <f ca="1">_xll.RiskNormal(C94,SQRT(E94),_xll.RiskCorrmat(betacorrelations,185))</f>
        <v>-6.9871265827173602E-3</v>
      </c>
      <c r="K94">
        <f ca="1">_xll.RiskNormal(D94,SQRT(G94),_xll.RiskCorrmat(betacorrelations,186))</f>
        <v>4.8689772718748002E-4</v>
      </c>
      <c r="L94">
        <f ca="1">_xll.RiskNormal(0,SQRT(H94))</f>
        <v>0</v>
      </c>
      <c r="M94" s="1">
        <f t="shared" si="6"/>
        <v>-7.0886131739120043E-3</v>
      </c>
      <c r="N94" s="1">
        <f t="shared" si="7"/>
        <v>4.6532795665769807E-4</v>
      </c>
      <c r="O94" s="1">
        <f t="shared" si="8"/>
        <v>-6.8856399915227162E-3</v>
      </c>
      <c r="P94" s="1">
        <f t="shared" si="9"/>
        <v>5.0846749771726201E-4</v>
      </c>
    </row>
    <row r="95" spans="1:16" x14ac:dyDescent="0.45">
      <c r="A95" t="s">
        <v>188</v>
      </c>
      <c r="B95">
        <v>21.3626666423879</v>
      </c>
      <c r="C95">
        <v>1.16061774996631E-2</v>
      </c>
      <c r="D95">
        <v>4.0284764249827698E-4</v>
      </c>
      <c r="E95" s="1">
        <v>6.9476901290762498E-9</v>
      </c>
      <c r="F95" s="1">
        <v>-2.51873573814285E-9</v>
      </c>
      <c r="G95" s="1">
        <v>1.19357196143999E-9</v>
      </c>
      <c r="H95" s="1">
        <v>3.0364293249139799E-7</v>
      </c>
      <c r="I95" s="2">
        <f t="shared" ref="I95:I143" si="10">F95/(SQRT(E95)*SQRT(G95))</f>
        <v>-0.87465761206276915</v>
      </c>
      <c r="J95">
        <f ca="1">_xll.RiskNormal(C95,SQRT(E95),_xll.RiskCorrmat(betacorrelations,187))</f>
        <v>1.16061774996631E-2</v>
      </c>
      <c r="K95">
        <f ca="1">_xll.RiskNormal(D95,SQRT(G95),_xll.RiskCorrmat(betacorrelations,188))</f>
        <v>4.0284764249827698E-4</v>
      </c>
      <c r="L95">
        <f ca="1">_xll.RiskNormal(0,SQRT(H95))</f>
        <v>0</v>
      </c>
      <c r="M95" s="1">
        <f t="shared" si="6"/>
        <v>1.1442806001537327E-2</v>
      </c>
      <c r="N95" s="1">
        <f t="shared" si="7"/>
        <v>3.3513334528514872E-4</v>
      </c>
      <c r="O95" s="1">
        <f t="shared" si="8"/>
        <v>1.1769548997788872E-2</v>
      </c>
      <c r="P95" s="1">
        <f t="shared" si="9"/>
        <v>4.7056193971140524E-4</v>
      </c>
    </row>
    <row r="96" spans="1:16" x14ac:dyDescent="0.45">
      <c r="A96" t="s">
        <v>51</v>
      </c>
      <c r="B96">
        <v>3.5975846615551501</v>
      </c>
      <c r="C96">
        <v>-1.1532904029007101E-2</v>
      </c>
      <c r="D96">
        <v>4.9005196255612999E-4</v>
      </c>
      <c r="E96" s="1">
        <v>1.5649024839223199E-8</v>
      </c>
      <c r="F96" s="1">
        <v>-2.8454998510306001E-9</v>
      </c>
      <c r="G96" s="1">
        <v>6.3272623717488502E-10</v>
      </c>
      <c r="H96" s="1">
        <v>8.3994613618615197E-7</v>
      </c>
      <c r="I96" s="2">
        <f t="shared" si="10"/>
        <v>-0.9042884949077673</v>
      </c>
      <c r="J96">
        <f ca="1">_xll.RiskNormal(C96,SQRT(E96),_xll.RiskCorrmat(betacorrelations,189))</f>
        <v>-1.1532904029007101E-2</v>
      </c>
      <c r="K96">
        <f ca="1">_xll.RiskNormal(D96,SQRT(G96),_xll.RiskCorrmat(betacorrelations,190))</f>
        <v>4.9005196255612999E-4</v>
      </c>
      <c r="L96">
        <f ca="1">_xll.RiskNormal(0,SQRT(H96))</f>
        <v>0</v>
      </c>
      <c r="M96" s="1">
        <f t="shared" si="6"/>
        <v>-1.1778092311399143E-2</v>
      </c>
      <c r="N96" s="1">
        <f t="shared" si="7"/>
        <v>4.4075002433123826E-4</v>
      </c>
      <c r="O96" s="1">
        <f t="shared" si="8"/>
        <v>-1.1287715746615058E-2</v>
      </c>
      <c r="P96" s="1">
        <f t="shared" si="9"/>
        <v>5.3935390078102172E-4</v>
      </c>
    </row>
    <row r="97" spans="1:16" x14ac:dyDescent="0.45">
      <c r="A97" t="s">
        <v>93</v>
      </c>
      <c r="B97">
        <v>28.142036002851398</v>
      </c>
      <c r="C97">
        <v>1.41614972911991E-2</v>
      </c>
      <c r="D97">
        <v>3.789911761507E-4</v>
      </c>
      <c r="E97" s="1">
        <v>1.3519999989243399E-8</v>
      </c>
      <c r="F97" s="1">
        <v>-4.8880041165476697E-9</v>
      </c>
      <c r="G97" s="1">
        <v>2.2904268122408198E-9</v>
      </c>
      <c r="H97" s="1">
        <v>4.8943765474414696E-7</v>
      </c>
      <c r="I97" s="2">
        <f t="shared" si="10"/>
        <v>-0.87838519628717626</v>
      </c>
      <c r="J97">
        <f ca="1">_xll.RiskNormal(C97,SQRT(E97),_xll.RiskCorrmat(betacorrelations,191))</f>
        <v>1.41614972911991E-2</v>
      </c>
      <c r="K97">
        <f ca="1">_xll.RiskNormal(D97,SQRT(G97),_xll.RiskCorrmat(betacorrelations,192))</f>
        <v>3.789911761507E-4</v>
      </c>
      <c r="L97">
        <f ca="1">_xll.RiskNormal(0,SQRT(H97))</f>
        <v>0</v>
      </c>
      <c r="M97" s="1">
        <f t="shared" si="6"/>
        <v>1.3933597243022981E-2</v>
      </c>
      <c r="N97" s="1">
        <f t="shared" si="7"/>
        <v>2.8518870474453537E-4</v>
      </c>
      <c r="O97" s="1">
        <f t="shared" si="8"/>
        <v>1.4389397339375219E-2</v>
      </c>
      <c r="P97" s="1">
        <f t="shared" si="9"/>
        <v>4.7279364755686463E-4</v>
      </c>
    </row>
    <row r="98" spans="1:16" x14ac:dyDescent="0.45">
      <c r="A98" t="s">
        <v>180</v>
      </c>
      <c r="B98">
        <v>25.853829225165001</v>
      </c>
      <c r="C98">
        <v>1.1963410137333701E-2</v>
      </c>
      <c r="D98">
        <v>4.6827089897106899E-4</v>
      </c>
      <c r="E98" s="1">
        <v>2.04161638571661E-8</v>
      </c>
      <c r="F98" s="1">
        <v>-8.3835654610911392E-9</v>
      </c>
      <c r="G98" s="1">
        <v>4.5723051345133699E-9</v>
      </c>
      <c r="H98" s="1">
        <v>8.3937020288723596E-7</v>
      </c>
      <c r="I98" s="2">
        <f t="shared" si="10"/>
        <v>-0.86770896736065273</v>
      </c>
      <c r="J98">
        <f ca="1">_xll.RiskNormal(C98,SQRT(E98),_xll.RiskCorrmat(betacorrelations,193))</f>
        <v>1.1963410137333701E-2</v>
      </c>
      <c r="K98">
        <f ca="1">_xll.RiskNormal(D98,SQRT(G98),_xll.RiskCorrmat(betacorrelations,194))</f>
        <v>4.6827089897106899E-4</v>
      </c>
      <c r="L98">
        <f ca="1">_xll.RiskNormal(0,SQRT(H98))</f>
        <v>0</v>
      </c>
      <c r="M98" s="1">
        <f t="shared" si="6"/>
        <v>1.1683355258651523E-2</v>
      </c>
      <c r="N98" s="1">
        <f t="shared" si="7"/>
        <v>3.3573800718662719E-4</v>
      </c>
      <c r="O98" s="1">
        <f t="shared" si="8"/>
        <v>1.2243465016015878E-2</v>
      </c>
      <c r="P98" s="1">
        <f t="shared" si="9"/>
        <v>6.0080379075551078E-4</v>
      </c>
    </row>
    <row r="99" spans="1:16" x14ac:dyDescent="0.45">
      <c r="A99" t="s">
        <v>74</v>
      </c>
      <c r="B99">
        <v>12.0707563240417</v>
      </c>
      <c r="C99">
        <v>-1.63041115628976E-3</v>
      </c>
      <c r="D99">
        <v>4.6999292730521999E-4</v>
      </c>
      <c r="E99" s="1">
        <v>2.4593640439697199E-10</v>
      </c>
      <c r="F99" s="1">
        <v>-7.3986018049596596E-11</v>
      </c>
      <c r="G99" s="1">
        <v>2.9278793357511599E-11</v>
      </c>
      <c r="H99" s="1">
        <v>1.3653969659888299E-8</v>
      </c>
      <c r="I99" s="2">
        <f t="shared" si="10"/>
        <v>-0.87188992075180616</v>
      </c>
      <c r="J99">
        <f ca="1">_xll.RiskNormal(C99,SQRT(E99),_xll.RiskCorrmat(betacorrelations,195))</f>
        <v>-1.63041115628976E-3</v>
      </c>
      <c r="K99">
        <f ca="1">_xll.RiskNormal(D99,SQRT(G99),_xll.RiskCorrmat(betacorrelations,196))</f>
        <v>4.6999292730521999E-4</v>
      </c>
      <c r="L99">
        <f ca="1">_xll.RiskNormal(0,SQRT(H99))</f>
        <v>0</v>
      </c>
      <c r="M99" s="1">
        <f t="shared" si="6"/>
        <v>-1.6611485812165721E-3</v>
      </c>
      <c r="N99" s="1">
        <f t="shared" si="7"/>
        <v>4.5938739042290154E-4</v>
      </c>
      <c r="O99" s="1">
        <f t="shared" si="8"/>
        <v>-1.5996737313629479E-3</v>
      </c>
      <c r="P99" s="1">
        <f t="shared" si="9"/>
        <v>4.8059846418753845E-4</v>
      </c>
    </row>
    <row r="100" spans="1:16" x14ac:dyDescent="0.45">
      <c r="A100" t="s">
        <v>101</v>
      </c>
      <c r="B100">
        <v>26.1105759115814</v>
      </c>
      <c r="C100">
        <v>1.21213184517253E-2</v>
      </c>
      <c r="D100">
        <v>3.88830726112195E-4</v>
      </c>
      <c r="E100" s="1">
        <v>7.6517144275558806E-9</v>
      </c>
      <c r="F100" s="1">
        <v>-1.9518811726221602E-9</v>
      </c>
      <c r="G100" s="1">
        <v>6.5688625496687396E-10</v>
      </c>
      <c r="H100" s="1">
        <v>8.2964727667929304E-7</v>
      </c>
      <c r="I100" s="2">
        <f t="shared" si="10"/>
        <v>-0.87062054427998659</v>
      </c>
      <c r="J100">
        <f ca="1">_xll.RiskNormal(C100,SQRT(E100),_xll.RiskCorrmat(betacorrelations,197))</f>
        <v>1.21213184517253E-2</v>
      </c>
      <c r="K100">
        <f ca="1">_xll.RiskNormal(D100,SQRT(G100),_xll.RiskCorrmat(betacorrelations,198))</f>
        <v>3.88830726112195E-4</v>
      </c>
      <c r="L100">
        <f ca="1">_xll.RiskNormal(0,SQRT(H100))</f>
        <v>0</v>
      </c>
      <c r="M100" s="1">
        <f t="shared" si="6"/>
        <v>1.1949869257662164E-2</v>
      </c>
      <c r="N100" s="1">
        <f t="shared" si="7"/>
        <v>3.3859633314203217E-4</v>
      </c>
      <c r="O100" s="1">
        <f t="shared" si="8"/>
        <v>1.2292767645788436E-2</v>
      </c>
      <c r="P100" s="1">
        <f t="shared" si="9"/>
        <v>4.3906511908235784E-4</v>
      </c>
    </row>
    <row r="101" spans="1:16" x14ac:dyDescent="0.45">
      <c r="A101" t="s">
        <v>191</v>
      </c>
      <c r="B101">
        <v>24.626008187766399</v>
      </c>
      <c r="C101">
        <v>1.06476138156433E-2</v>
      </c>
      <c r="D101">
        <v>3.8248798528720099E-4</v>
      </c>
      <c r="E101" s="1">
        <v>8.4605255186568699E-9</v>
      </c>
      <c r="F101" s="1">
        <v>-3.0053152064564799E-9</v>
      </c>
      <c r="G101" s="1">
        <v>1.33873326431135E-9</v>
      </c>
      <c r="H101" s="1">
        <v>3.1545406323824602E-7</v>
      </c>
      <c r="I101" s="2">
        <f t="shared" si="10"/>
        <v>-0.8929853449725782</v>
      </c>
      <c r="J101">
        <f ca="1">_xll.RiskNormal(C101,SQRT(E101),_xll.RiskCorrmat(betacorrelations,199))</f>
        <v>1.06476138156433E-2</v>
      </c>
      <c r="K101">
        <f ca="1">_xll.RiskNormal(D101,SQRT(G101),_xll.RiskCorrmat(betacorrelations,200))</f>
        <v>3.8248798528720099E-4</v>
      </c>
      <c r="L101">
        <f ca="1">_xll.RiskNormal(0,SQRT(H101))</f>
        <v>0</v>
      </c>
      <c r="M101" s="1">
        <f t="shared" si="6"/>
        <v>1.0467330830221845E-2</v>
      </c>
      <c r="N101" s="1">
        <f t="shared" si="7"/>
        <v>3.1077412534242827E-4</v>
      </c>
      <c r="O101" s="1">
        <f t="shared" si="8"/>
        <v>1.0827896801064755E-2</v>
      </c>
      <c r="P101" s="1">
        <f t="shared" si="9"/>
        <v>4.5420184523197371E-4</v>
      </c>
    </row>
    <row r="102" spans="1:16" x14ac:dyDescent="0.45">
      <c r="A102" t="s">
        <v>98</v>
      </c>
      <c r="B102">
        <v>16.436840886213702</v>
      </c>
      <c r="C102">
        <v>2.1208991240805699E-3</v>
      </c>
      <c r="D102">
        <v>4.2942871305386501E-4</v>
      </c>
      <c r="E102" s="1">
        <v>4.7390815903450201E-10</v>
      </c>
      <c r="F102" s="1">
        <v>-1.52030213369206E-10</v>
      </c>
      <c r="G102" s="1">
        <v>6.6763936710465798E-11</v>
      </c>
      <c r="H102" s="1">
        <v>3.3857555352869398E-8</v>
      </c>
      <c r="I102" s="2">
        <f t="shared" si="10"/>
        <v>-0.85469633905942699</v>
      </c>
      <c r="J102">
        <f ca="1">_xll.RiskNormal(C102,SQRT(E102),_xll.RiskCorrmat(betacorrelations,201))</f>
        <v>2.1208991240805699E-3</v>
      </c>
      <c r="K102">
        <f ca="1">_xll.RiskNormal(D102,SQRT(G102),_xll.RiskCorrmat(betacorrelations,202))</f>
        <v>4.2942871305386501E-4</v>
      </c>
      <c r="L102">
        <f ca="1">_xll.RiskNormal(0,SQRT(H102))</f>
        <v>0</v>
      </c>
      <c r="M102" s="1">
        <f t="shared" si="6"/>
        <v>2.0782310378363177E-3</v>
      </c>
      <c r="N102" s="1">
        <f t="shared" si="7"/>
        <v>4.1341370948636853E-4</v>
      </c>
      <c r="O102" s="1">
        <f t="shared" si="8"/>
        <v>2.1635672103248221E-3</v>
      </c>
      <c r="P102" s="1">
        <f t="shared" si="9"/>
        <v>4.4544371662136149E-4</v>
      </c>
    </row>
    <row r="103" spans="1:16" x14ac:dyDescent="0.45">
      <c r="A103" t="s">
        <v>96</v>
      </c>
      <c r="B103">
        <v>25.221415303622798</v>
      </c>
      <c r="C103">
        <v>1.1482601920092801E-2</v>
      </c>
      <c r="D103">
        <v>4.5269781592751799E-4</v>
      </c>
      <c r="E103" s="1">
        <v>5.5328375819396298E-9</v>
      </c>
      <c r="F103" s="1">
        <v>-1.9915229100377299E-9</v>
      </c>
      <c r="G103" s="1">
        <v>9.5661527292657801E-10</v>
      </c>
      <c r="H103" s="1">
        <v>2.8590528519683102E-7</v>
      </c>
      <c r="I103" s="2">
        <f t="shared" si="10"/>
        <v>-0.86565071253661552</v>
      </c>
      <c r="J103">
        <f ca="1">_xll.RiskNormal(C103,SQRT(E103),_xll.RiskCorrmat(betacorrelations,203))</f>
        <v>1.1482601920092801E-2</v>
      </c>
      <c r="K103">
        <f ca="1">_xll.RiskNormal(D103,SQRT(G103),_xll.RiskCorrmat(betacorrelations,204))</f>
        <v>4.5269781592751799E-4</v>
      </c>
      <c r="L103">
        <f ca="1">_xll.RiskNormal(0,SQRT(H103))</f>
        <v>0</v>
      </c>
      <c r="M103" s="1">
        <f t="shared" si="6"/>
        <v>1.1336811149277981E-2</v>
      </c>
      <c r="N103" s="1">
        <f t="shared" si="7"/>
        <v>3.9207658835437541E-4</v>
      </c>
      <c r="O103" s="1">
        <f t="shared" si="8"/>
        <v>1.1628392690907621E-2</v>
      </c>
      <c r="P103" s="1">
        <f t="shared" si="9"/>
        <v>5.1331904350066058E-4</v>
      </c>
    </row>
    <row r="104" spans="1:16" x14ac:dyDescent="0.45">
      <c r="A104" t="s">
        <v>97</v>
      </c>
      <c r="B104">
        <v>20.7868538821911</v>
      </c>
      <c r="C104">
        <v>1.0257924432221399E-2</v>
      </c>
      <c r="D104">
        <v>5.2811472420967605E-4</v>
      </c>
      <c r="E104" s="1">
        <v>1.5860694908709702E-8</v>
      </c>
      <c r="F104" s="1">
        <v>-5.1087249572731498E-9</v>
      </c>
      <c r="G104" s="1">
        <v>2.1904969119410202E-9</v>
      </c>
      <c r="H104" s="1">
        <v>1.22510082942812E-6</v>
      </c>
      <c r="I104" s="2">
        <f t="shared" si="10"/>
        <v>-0.86672254517590996</v>
      </c>
      <c r="J104">
        <f ca="1">_xll.RiskNormal(C104,SQRT(E104),_xll.RiskCorrmat(betacorrelations,205))</f>
        <v>1.0257924432221399E-2</v>
      </c>
      <c r="K104">
        <f ca="1">_xll.RiskNormal(D104,SQRT(G104),_xll.RiskCorrmat(betacorrelations,206))</f>
        <v>5.2811472420967605E-4</v>
      </c>
      <c r="L104">
        <f ca="1">_xll.RiskNormal(0,SQRT(H104))</f>
        <v>0</v>
      </c>
      <c r="M104" s="1">
        <f t="shared" si="6"/>
        <v>1.001108350052388E-2</v>
      </c>
      <c r="N104" s="1">
        <f t="shared" si="7"/>
        <v>4.3638134458746534E-4</v>
      </c>
      <c r="O104" s="1">
        <f t="shared" si="8"/>
        <v>1.0504765363918919E-2</v>
      </c>
      <c r="P104" s="1">
        <f t="shared" si="9"/>
        <v>6.1984810383188677E-4</v>
      </c>
    </row>
    <row r="105" spans="1:16" x14ac:dyDescent="0.45">
      <c r="A105" t="s">
        <v>23</v>
      </c>
      <c r="B105">
        <v>5.1317557712858202</v>
      </c>
      <c r="C105">
        <v>-7.6597513482534003E-3</v>
      </c>
      <c r="D105">
        <v>5.1371376154406702E-4</v>
      </c>
      <c r="E105" s="1">
        <v>3.0409921844533399E-9</v>
      </c>
      <c r="F105" s="1">
        <v>-7.3359520044818905E-10</v>
      </c>
      <c r="G105" s="1">
        <v>2.1866561560675201E-10</v>
      </c>
      <c r="H105" s="1">
        <v>1.9502655613275099E-7</v>
      </c>
      <c r="I105" s="2">
        <f t="shared" si="10"/>
        <v>-0.89961892036265789</v>
      </c>
      <c r="J105">
        <f ca="1">_xll.RiskNormal(C105,SQRT(E105),_xll.RiskCorrmat(betacorrelations,207))</f>
        <v>-7.6597513482534003E-3</v>
      </c>
      <c r="K105">
        <f ca="1">_xll.RiskNormal(D105,SQRT(G105),_xll.RiskCorrmat(betacorrelations,208))</f>
        <v>5.1371376154406702E-4</v>
      </c>
      <c r="L105">
        <f ca="1">_xll.RiskNormal(0,SQRT(H105))</f>
        <v>0</v>
      </c>
      <c r="M105" s="1">
        <f t="shared" si="6"/>
        <v>-7.7678359242843772E-3</v>
      </c>
      <c r="N105" s="1">
        <f t="shared" si="7"/>
        <v>4.8473056246399829E-4</v>
      </c>
      <c r="O105" s="1">
        <f t="shared" si="8"/>
        <v>-7.5516667722224234E-3</v>
      </c>
      <c r="P105" s="1">
        <f t="shared" si="9"/>
        <v>5.4269696062413575E-4</v>
      </c>
    </row>
    <row r="106" spans="1:16" x14ac:dyDescent="0.45">
      <c r="A106" t="s">
        <v>37</v>
      </c>
      <c r="B106">
        <v>26.311813600248101</v>
      </c>
      <c r="C106">
        <v>1.2567690342912699E-2</v>
      </c>
      <c r="D106">
        <v>4.8761611083164699E-4</v>
      </c>
      <c r="E106" s="1">
        <v>1.8054411167035201E-8</v>
      </c>
      <c r="F106" s="1">
        <v>-6.9643882622999301E-9</v>
      </c>
      <c r="G106" s="1">
        <v>3.5093711619593601E-9</v>
      </c>
      <c r="H106" s="1">
        <v>6.4590020149074698E-7</v>
      </c>
      <c r="I106" s="2">
        <f t="shared" si="10"/>
        <v>-0.87493675085402667</v>
      </c>
      <c r="J106">
        <f ca="1">_xll.RiskNormal(C106,SQRT(E106),_xll.RiskCorrmat(betacorrelations,209))</f>
        <v>1.2567690342912699E-2</v>
      </c>
      <c r="K106">
        <f ca="1">_xll.RiskNormal(D106,SQRT(G106),_xll.RiskCorrmat(betacorrelations,210))</f>
        <v>4.8761611083164699E-4</v>
      </c>
      <c r="L106">
        <f ca="1">_xll.RiskNormal(0,SQRT(H106))</f>
        <v>0</v>
      </c>
      <c r="M106" s="1">
        <f t="shared" si="6"/>
        <v>1.2304331602903406E-2</v>
      </c>
      <c r="N106" s="1">
        <f t="shared" si="7"/>
        <v>3.7150581733540661E-4</v>
      </c>
      <c r="O106" s="1">
        <f t="shared" si="8"/>
        <v>1.2831049082921993E-2</v>
      </c>
      <c r="P106" s="1">
        <f t="shared" si="9"/>
        <v>6.0372640432788732E-4</v>
      </c>
    </row>
    <row r="107" spans="1:16" x14ac:dyDescent="0.45">
      <c r="A107" t="s">
        <v>64</v>
      </c>
      <c r="B107">
        <v>12.986102502723099</v>
      </c>
      <c r="C107">
        <v>-8.3044618935179605E-4</v>
      </c>
      <c r="D107">
        <v>4.3470928942191599E-4</v>
      </c>
      <c r="E107" s="1">
        <v>1.04129015209886E-10</v>
      </c>
      <c r="F107" s="1">
        <v>-3.2605347611788798E-11</v>
      </c>
      <c r="G107" s="1">
        <v>1.3855829923216799E-11</v>
      </c>
      <c r="H107" s="1">
        <v>1.04729982782288E-8</v>
      </c>
      <c r="I107" s="2">
        <f t="shared" si="10"/>
        <v>-0.85839401747977973</v>
      </c>
      <c r="J107">
        <f ca="1">_xll.RiskNormal(C107,SQRT(E107),_xll.RiskCorrmat(betacorrelations,211))</f>
        <v>-8.3044618935179605E-4</v>
      </c>
      <c r="K107">
        <f ca="1">_xll.RiskNormal(D107,SQRT(G107),_xll.RiskCorrmat(betacorrelations,212))</f>
        <v>4.3470928942191599E-4</v>
      </c>
      <c r="L107">
        <f ca="1">_xll.RiskNormal(0,SQRT(H107))</f>
        <v>0</v>
      </c>
      <c r="M107" s="1">
        <f t="shared" si="6"/>
        <v>-8.504467399649741E-4</v>
      </c>
      <c r="N107" s="1">
        <f t="shared" si="7"/>
        <v>4.2741349911290701E-4</v>
      </c>
      <c r="O107" s="1">
        <f t="shared" si="8"/>
        <v>-8.1044563873861801E-4</v>
      </c>
      <c r="P107" s="1">
        <f t="shared" si="9"/>
        <v>4.4200507973092497E-4</v>
      </c>
    </row>
    <row r="108" spans="1:16" x14ac:dyDescent="0.45">
      <c r="A108" t="s">
        <v>134</v>
      </c>
      <c r="B108">
        <v>6.53878641400894</v>
      </c>
      <c r="C108">
        <v>-6.3064231004940803E-3</v>
      </c>
      <c r="D108">
        <v>4.8117731197765801E-4</v>
      </c>
      <c r="E108" s="1">
        <v>3.51015432853117E-9</v>
      </c>
      <c r="F108" s="1">
        <v>-7.9298503008301198E-10</v>
      </c>
      <c r="G108" s="1">
        <v>2.1503273135963599E-10</v>
      </c>
      <c r="H108" s="1">
        <v>2.0767839809325701E-7</v>
      </c>
      <c r="I108" s="2">
        <f t="shared" si="10"/>
        <v>-0.91274528360370477</v>
      </c>
      <c r="J108">
        <f ca="1">_xll.RiskNormal(C108,SQRT(E108),_xll.RiskCorrmat(betacorrelations,213))</f>
        <v>-6.3064231004940803E-3</v>
      </c>
      <c r="K108">
        <f ca="1">_xll.RiskNormal(D108,SQRT(G108),_xll.RiskCorrmat(betacorrelations,214))</f>
        <v>4.8117731197765801E-4</v>
      </c>
      <c r="L108">
        <f ca="1">_xll.RiskNormal(0,SQRT(H108))</f>
        <v>0</v>
      </c>
      <c r="M108" s="1">
        <f t="shared" si="6"/>
        <v>-6.4225463491072903E-3</v>
      </c>
      <c r="N108" s="1">
        <f t="shared" si="7"/>
        <v>4.5243588298063045E-4</v>
      </c>
      <c r="O108" s="1">
        <f t="shared" si="8"/>
        <v>-6.1902998518808703E-3</v>
      </c>
      <c r="P108" s="1">
        <f t="shared" si="9"/>
        <v>5.0991874097468563E-4</v>
      </c>
    </row>
    <row r="109" spans="1:16" x14ac:dyDescent="0.45">
      <c r="A109" t="s">
        <v>46</v>
      </c>
      <c r="B109">
        <v>9.1205525563933101</v>
      </c>
      <c r="C109">
        <v>-3.7896436556616999E-3</v>
      </c>
      <c r="D109">
        <v>4.8237398440481902E-4</v>
      </c>
      <c r="E109" s="1">
        <v>8.3216834527298398E-10</v>
      </c>
      <c r="F109" s="1">
        <v>-2.4197953735369298E-10</v>
      </c>
      <c r="G109" s="1">
        <v>8.81404583492272E-11</v>
      </c>
      <c r="H109" s="1">
        <v>3.8114001387522699E-8</v>
      </c>
      <c r="I109" s="2">
        <f t="shared" si="10"/>
        <v>-0.8934811487274622</v>
      </c>
      <c r="J109">
        <f ca="1">_xll.RiskNormal(C109,SQRT(E109),_xll.RiskCorrmat(betacorrelations,215))</f>
        <v>-3.7896436556616999E-3</v>
      </c>
      <c r="K109">
        <f ca="1">_xll.RiskNormal(D109,SQRT(G109),_xll.RiskCorrmat(betacorrelations,216))</f>
        <v>4.8237398440481902E-4</v>
      </c>
      <c r="L109">
        <f ca="1">_xll.RiskNormal(0,SQRT(H109))</f>
        <v>0</v>
      </c>
      <c r="M109" s="1">
        <f t="shared" si="6"/>
        <v>-3.8461844189674839E-3</v>
      </c>
      <c r="N109" s="1">
        <f t="shared" si="7"/>
        <v>4.6397288702465197E-4</v>
      </c>
      <c r="O109" s="1">
        <f t="shared" si="8"/>
        <v>-3.733102892355916E-3</v>
      </c>
      <c r="P109" s="1">
        <f t="shared" si="9"/>
        <v>5.0077508178498608E-4</v>
      </c>
    </row>
    <row r="110" spans="1:16" x14ac:dyDescent="0.45">
      <c r="A110" t="s">
        <v>139</v>
      </c>
      <c r="B110">
        <v>5.9916380381434804</v>
      </c>
      <c r="C110">
        <v>-6.9450837616394897E-3</v>
      </c>
      <c r="D110">
        <v>4.80918413263304E-4</v>
      </c>
      <c r="E110" s="1">
        <v>4.4128271626932096E-9</v>
      </c>
      <c r="F110" s="1">
        <v>-9.5222949738824998E-10</v>
      </c>
      <c r="G110" s="1">
        <v>2.4510320139039202E-10</v>
      </c>
      <c r="H110" s="1">
        <v>2.7994045315204898E-7</v>
      </c>
      <c r="I110" s="2">
        <f t="shared" si="10"/>
        <v>-0.91560610506989915</v>
      </c>
      <c r="J110">
        <f ca="1">_xll.RiskNormal(C110,SQRT(E110),_xll.RiskCorrmat(betacorrelations,217))</f>
        <v>-6.9450837616394897E-3</v>
      </c>
      <c r="K110">
        <f ca="1">_xll.RiskNormal(D110,SQRT(G110),_xll.RiskCorrmat(betacorrelations,218))</f>
        <v>4.80918413263304E-4</v>
      </c>
      <c r="L110">
        <f ca="1">_xll.RiskNormal(0,SQRT(H110))</f>
        <v>0</v>
      </c>
      <c r="M110" s="1">
        <f t="shared" si="6"/>
        <v>-7.0752848247234842E-3</v>
      </c>
      <c r="N110" s="1">
        <f t="shared" si="7"/>
        <v>4.5023309986322074E-4</v>
      </c>
      <c r="O110" s="1">
        <f t="shared" si="8"/>
        <v>-6.8148826985554951E-3</v>
      </c>
      <c r="P110" s="1">
        <f t="shared" si="9"/>
        <v>5.1160372666338725E-4</v>
      </c>
    </row>
    <row r="111" spans="1:16" x14ac:dyDescent="0.45">
      <c r="A111" t="s">
        <v>63</v>
      </c>
      <c r="B111">
        <v>17.327644198951301</v>
      </c>
      <c r="C111">
        <v>4.23491727484312E-3</v>
      </c>
      <c r="D111">
        <v>4.5929802654050999E-4</v>
      </c>
      <c r="E111" s="1">
        <v>1.6378414077407299E-9</v>
      </c>
      <c r="F111" s="1">
        <v>-4.9788773280498698E-10</v>
      </c>
      <c r="G111" s="1">
        <v>2.0455854239632701E-10</v>
      </c>
      <c r="H111" s="1">
        <v>1.34241377831295E-7</v>
      </c>
      <c r="I111" s="2">
        <f t="shared" si="10"/>
        <v>-0.86017475511751695</v>
      </c>
      <c r="J111">
        <f ca="1">_xll.RiskNormal(C111,SQRT(E111),_xll.RiskCorrmat(betacorrelations,219))</f>
        <v>4.23491727484312E-3</v>
      </c>
      <c r="K111">
        <f ca="1">_xll.RiskNormal(D111,SQRT(G111),_xll.RiskCorrmat(betacorrelations,220))</f>
        <v>4.5929802654050999E-4</v>
      </c>
      <c r="L111">
        <f ca="1">_xll.RiskNormal(0,SQRT(H111))</f>
        <v>0</v>
      </c>
      <c r="M111" s="1">
        <f t="shared" si="6"/>
        <v>4.15559557824013E-3</v>
      </c>
      <c r="N111" s="1">
        <f t="shared" si="7"/>
        <v>4.3126532962298652E-4</v>
      </c>
      <c r="O111" s="1">
        <f t="shared" si="8"/>
        <v>4.3142389714461099E-3</v>
      </c>
      <c r="P111" s="1">
        <f t="shared" si="9"/>
        <v>4.8733072345803345E-4</v>
      </c>
    </row>
    <row r="112" spans="1:16" x14ac:dyDescent="0.45">
      <c r="A112" t="s">
        <v>145</v>
      </c>
      <c r="B112">
        <v>9.8847682414812503</v>
      </c>
      <c r="C112">
        <v>-3.0506861224429299E-3</v>
      </c>
      <c r="D112">
        <v>4.8899378439101597E-4</v>
      </c>
      <c r="E112" s="1">
        <v>6.4559665821313895E-10</v>
      </c>
      <c r="F112" s="1">
        <v>-1.63700873007154E-10</v>
      </c>
      <c r="G112" s="1">
        <v>5.2004716826312199E-11</v>
      </c>
      <c r="H112" s="1">
        <v>4.3961905582470299E-8</v>
      </c>
      <c r="I112" s="2">
        <f t="shared" si="10"/>
        <v>-0.89340625892993464</v>
      </c>
      <c r="J112">
        <f ca="1">_xll.RiskNormal(C112,SQRT(E112),_xll.RiskCorrmat(betacorrelations,221))</f>
        <v>-3.0506861224429299E-3</v>
      </c>
      <c r="K112">
        <f ca="1">_xll.RiskNormal(D112,SQRT(G112),_xll.RiskCorrmat(betacorrelations,222))</f>
        <v>4.8899378439101597E-4</v>
      </c>
      <c r="L112">
        <f ca="1">_xll.RiskNormal(0,SQRT(H112))</f>
        <v>0</v>
      </c>
      <c r="M112" s="1">
        <f t="shared" si="6"/>
        <v>-3.1004869670360848E-3</v>
      </c>
      <c r="N112" s="1">
        <f t="shared" si="7"/>
        <v>4.7485938238173516E-4</v>
      </c>
      <c r="O112" s="1">
        <f t="shared" si="8"/>
        <v>-3.0008852778497749E-3</v>
      </c>
      <c r="P112" s="1">
        <f t="shared" si="9"/>
        <v>5.0312818640029671E-4</v>
      </c>
    </row>
    <row r="113" spans="1:16" x14ac:dyDescent="0.45">
      <c r="A113" t="s">
        <v>12</v>
      </c>
      <c r="B113">
        <v>21.123426703806199</v>
      </c>
      <c r="C113">
        <v>9.3983170931514707E-3</v>
      </c>
      <c r="D113">
        <v>3.03379225209058E-4</v>
      </c>
      <c r="E113" s="1">
        <v>4.4284982200247498E-9</v>
      </c>
      <c r="F113" s="1">
        <v>-1.7374478503044401E-9</v>
      </c>
      <c r="G113" s="1">
        <v>8.8992731215975199E-10</v>
      </c>
      <c r="H113" s="1">
        <v>1.5863142178066599E-7</v>
      </c>
      <c r="I113" s="2">
        <f t="shared" si="10"/>
        <v>-0.87519791230298694</v>
      </c>
      <c r="J113">
        <f ca="1">_xll.RiskNormal(C113,SQRT(E113),_xll.RiskCorrmat(betacorrelations,223))</f>
        <v>9.3983170931514707E-3</v>
      </c>
      <c r="K113">
        <f ca="1">_xll.RiskNormal(D113,SQRT(G113),_xll.RiskCorrmat(betacorrelations,224))</f>
        <v>3.03379225209058E-4</v>
      </c>
      <c r="L113">
        <f ca="1">_xll.RiskNormal(0,SQRT(H113))</f>
        <v>0</v>
      </c>
      <c r="M113" s="1">
        <f t="shared" si="6"/>
        <v>9.2678850466213058E-3</v>
      </c>
      <c r="N113" s="1">
        <f t="shared" si="7"/>
        <v>2.4490919218022429E-4</v>
      </c>
      <c r="O113" s="1">
        <f t="shared" si="8"/>
        <v>9.5287491396816356E-3</v>
      </c>
      <c r="P113" s="1">
        <f t="shared" si="9"/>
        <v>3.6184925823789171E-4</v>
      </c>
    </row>
    <row r="114" spans="1:16" x14ac:dyDescent="0.45">
      <c r="A114" t="s">
        <v>50</v>
      </c>
      <c r="B114">
        <v>19.8081158447843</v>
      </c>
      <c r="C114">
        <v>7.6407909038347099E-3</v>
      </c>
      <c r="D114">
        <v>3.6607852572200801E-4</v>
      </c>
      <c r="E114" s="1">
        <v>3.8069563727814796E-9</v>
      </c>
      <c r="F114" s="1">
        <v>-1.2513103621185401E-9</v>
      </c>
      <c r="G114" s="1">
        <v>5.5775055873144199E-10</v>
      </c>
      <c r="H114" s="1">
        <v>2.71463042483246E-7</v>
      </c>
      <c r="I114" s="2">
        <f t="shared" si="10"/>
        <v>-0.8587289098218186</v>
      </c>
      <c r="J114">
        <f ca="1">_xll.RiskNormal(C114,SQRT(E114),_xll.RiskCorrmat(betacorrelations,225))</f>
        <v>7.6407909038347099E-3</v>
      </c>
      <c r="K114">
        <f ca="1">_xll.RiskNormal(D114,SQRT(G114),_xll.RiskCorrmat(betacorrelations,226))</f>
        <v>3.6607852572200801E-4</v>
      </c>
      <c r="L114">
        <f ca="1">_xll.RiskNormal(0,SQRT(H114))</f>
        <v>0</v>
      </c>
      <c r="M114" s="1">
        <f t="shared" si="6"/>
        <v>7.5198578496200857E-3</v>
      </c>
      <c r="N114" s="1">
        <f t="shared" si="7"/>
        <v>3.1978970907670253E-4</v>
      </c>
      <c r="O114" s="1">
        <f t="shared" si="8"/>
        <v>7.7617239580493342E-3</v>
      </c>
      <c r="P114" s="1">
        <f t="shared" si="9"/>
        <v>4.123673423673135E-4</v>
      </c>
    </row>
    <row r="115" spans="1:16" x14ac:dyDescent="0.45">
      <c r="A115" t="s">
        <v>82</v>
      </c>
      <c r="B115">
        <v>10.143930845884</v>
      </c>
      <c r="C115">
        <v>-2.6596568613456201E-3</v>
      </c>
      <c r="D115">
        <v>4.9959194867673805E-4</v>
      </c>
      <c r="E115" s="1">
        <v>3.8604150866272202E-10</v>
      </c>
      <c r="F115" s="1">
        <v>-1.02617715319116E-10</v>
      </c>
      <c r="G115" s="1">
        <v>3.5415797285918303E-11</v>
      </c>
      <c r="H115" s="1">
        <v>3.2882361142042901E-8</v>
      </c>
      <c r="I115" s="2">
        <f t="shared" si="10"/>
        <v>-0.8776206382665579</v>
      </c>
      <c r="J115">
        <f ca="1">_xll.RiskNormal(C115,SQRT(E115),_xll.RiskCorrmat(betacorrelations,227))</f>
        <v>-2.6596568613456201E-3</v>
      </c>
      <c r="K115">
        <f ca="1">_xll.RiskNormal(D115,SQRT(G115),_xll.RiskCorrmat(betacorrelations,228))</f>
        <v>4.9959194867673805E-4</v>
      </c>
      <c r="L115">
        <f ca="1">_xll.RiskNormal(0,SQRT(H115))</f>
        <v>0</v>
      </c>
      <c r="M115" s="1">
        <f t="shared" si="6"/>
        <v>-2.6981668218711611E-3</v>
      </c>
      <c r="N115" s="1">
        <f t="shared" si="7"/>
        <v>4.8792775874114525E-4</v>
      </c>
      <c r="O115" s="1">
        <f t="shared" si="8"/>
        <v>-2.6211469008200791E-3</v>
      </c>
      <c r="P115" s="1">
        <f t="shared" si="9"/>
        <v>5.1125613861233079E-4</v>
      </c>
    </row>
    <row r="116" spans="1:16" x14ac:dyDescent="0.45">
      <c r="A116" t="s">
        <v>178</v>
      </c>
      <c r="B116">
        <v>27.9983827283674</v>
      </c>
      <c r="C116">
        <v>1.62101204912014E-2</v>
      </c>
      <c r="D116">
        <v>2.3709796721401E-4</v>
      </c>
      <c r="E116" s="1">
        <v>3.4561946111078602E-8</v>
      </c>
      <c r="F116" s="1">
        <v>-9.5881623220428397E-9</v>
      </c>
      <c r="G116" s="1">
        <v>3.48022333892276E-9</v>
      </c>
      <c r="H116" s="1">
        <v>2.2037781380356102E-6</v>
      </c>
      <c r="I116" s="2">
        <f t="shared" si="10"/>
        <v>-0.87424413176438831</v>
      </c>
      <c r="J116">
        <f ca="1">_xll.RiskNormal(C116,SQRT(E116),_xll.RiskCorrmat(betacorrelations,229))</f>
        <v>1.62101204912014E-2</v>
      </c>
      <c r="K116">
        <f ca="1">_xll.RiskNormal(D116,SQRT(G116),_xll.RiskCorrmat(betacorrelations,230))</f>
        <v>2.3709796721401E-4</v>
      </c>
      <c r="L116">
        <f ca="1">_xll.RiskNormal(0,SQRT(H116))</f>
        <v>0</v>
      </c>
      <c r="M116" s="1">
        <f t="shared" si="6"/>
        <v>1.5845739959092015E-2</v>
      </c>
      <c r="N116" s="1">
        <f t="shared" si="7"/>
        <v>1.2147086840579084E-4</v>
      </c>
      <c r="O116" s="1">
        <f t="shared" si="8"/>
        <v>1.6574501023310786E-2</v>
      </c>
      <c r="P116" s="1">
        <f t="shared" si="9"/>
        <v>3.5272506602222916E-4</v>
      </c>
    </row>
    <row r="117" spans="1:16" x14ac:dyDescent="0.45">
      <c r="A117" t="s">
        <v>73</v>
      </c>
      <c r="B117">
        <v>25.957878930653401</v>
      </c>
      <c r="C117">
        <v>1.0414904968856199E-2</v>
      </c>
      <c r="D117">
        <v>4.0067278685947702E-4</v>
      </c>
      <c r="E117" s="1">
        <v>5.13693051585088E-9</v>
      </c>
      <c r="F117" s="1">
        <v>-1.8860362526716001E-9</v>
      </c>
      <c r="G117" s="1">
        <v>9.0225594677898702E-10</v>
      </c>
      <c r="H117" s="1">
        <v>2.1757599045338299E-7</v>
      </c>
      <c r="I117" s="2">
        <f t="shared" si="10"/>
        <v>-0.87605891620800935</v>
      </c>
      <c r="J117">
        <f ca="1">_xll.RiskNormal(C117,SQRT(E117),_xll.RiskCorrmat(betacorrelations,231))</f>
        <v>1.0414904968856199E-2</v>
      </c>
      <c r="K117">
        <f ca="1">_xll.RiskNormal(D117,SQRT(G117),_xll.RiskCorrmat(betacorrelations,232))</f>
        <v>4.0067278685947702E-4</v>
      </c>
      <c r="L117">
        <f ca="1">_xll.RiskNormal(0,SQRT(H117))</f>
        <v>0</v>
      </c>
      <c r="M117" s="1">
        <f t="shared" si="6"/>
        <v>1.027442709775298E-2</v>
      </c>
      <c r="N117" s="1">
        <f t="shared" si="7"/>
        <v>3.4179913872088997E-4</v>
      </c>
      <c r="O117" s="1">
        <f t="shared" si="8"/>
        <v>1.0555382839959418E-2</v>
      </c>
      <c r="P117" s="1">
        <f t="shared" si="9"/>
        <v>4.5954643499806407E-4</v>
      </c>
    </row>
    <row r="118" spans="1:16" x14ac:dyDescent="0.45">
      <c r="A118" t="s">
        <v>165</v>
      </c>
      <c r="B118">
        <v>9.5087579178961104</v>
      </c>
      <c r="C118">
        <v>-4.4913721314697704E-3</v>
      </c>
      <c r="D118">
        <v>5.0423570164386802E-4</v>
      </c>
      <c r="E118" s="1">
        <v>8.9209435398405598E-10</v>
      </c>
      <c r="F118" s="1">
        <v>-2.2313060033065399E-10</v>
      </c>
      <c r="G118" s="1">
        <v>7.0414597534474704E-11</v>
      </c>
      <c r="H118" s="1">
        <v>4.6061916957784899E-8</v>
      </c>
      <c r="I118" s="2">
        <f t="shared" si="10"/>
        <v>-0.89027133025471894</v>
      </c>
      <c r="J118">
        <f ca="1">_xll.RiskNormal(C118,SQRT(E118),_xll.RiskCorrmat(betacorrelations,233))</f>
        <v>-4.4913721314697704E-3</v>
      </c>
      <c r="K118">
        <f ca="1">_xll.RiskNormal(D118,SQRT(G118),_xll.RiskCorrmat(betacorrelations,234))</f>
        <v>5.0423570164386802E-4</v>
      </c>
      <c r="L118">
        <f ca="1">_xll.RiskNormal(0,SQRT(H118))</f>
        <v>0</v>
      </c>
      <c r="M118" s="1">
        <f t="shared" si="6"/>
        <v>-4.5499133107392824E-3</v>
      </c>
      <c r="N118" s="1">
        <f t="shared" si="7"/>
        <v>4.877886740130638E-4</v>
      </c>
      <c r="O118" s="1">
        <f t="shared" si="8"/>
        <v>-4.4328309522002583E-3</v>
      </c>
      <c r="P118" s="1">
        <f t="shared" si="9"/>
        <v>5.2068272927467229E-4</v>
      </c>
    </row>
    <row r="119" spans="1:16" x14ac:dyDescent="0.45">
      <c r="A119" t="s">
        <v>166</v>
      </c>
      <c r="B119">
        <v>-1.1277933424495701</v>
      </c>
      <c r="C119">
        <v>-1.30879349636604E-2</v>
      </c>
      <c r="D119">
        <v>5.5201615037574398E-4</v>
      </c>
      <c r="E119" s="1">
        <v>8.3527651207439394E-9</v>
      </c>
      <c r="F119" s="1">
        <v>-1.6929698263972099E-9</v>
      </c>
      <c r="G119" s="1">
        <v>4.2343519610859602E-10</v>
      </c>
      <c r="H119" s="1">
        <v>7.0773870938539696E-7</v>
      </c>
      <c r="I119" s="2">
        <f t="shared" si="10"/>
        <v>-0.90020331152004796</v>
      </c>
      <c r="J119">
        <f ca="1">_xll.RiskNormal(C119,SQRT(E119),_xll.RiskCorrmat(betacorrelations,235))</f>
        <v>-1.30879349636604E-2</v>
      </c>
      <c r="K119">
        <f ca="1">_xll.RiskNormal(D119,SQRT(G119),_xll.RiskCorrmat(betacorrelations,236))</f>
        <v>5.5201615037574398E-4</v>
      </c>
      <c r="L119">
        <f ca="1">_xll.RiskNormal(0,SQRT(H119))</f>
        <v>0</v>
      </c>
      <c r="M119" s="1">
        <f t="shared" si="6"/>
        <v>-1.3267066151586595E-2</v>
      </c>
      <c r="N119" s="1">
        <f t="shared" si="7"/>
        <v>5.1168416989659093E-4</v>
      </c>
      <c r="O119" s="1">
        <f t="shared" si="8"/>
        <v>-1.2908803775734206E-2</v>
      </c>
      <c r="P119" s="1">
        <f t="shared" si="9"/>
        <v>5.9234813085489704E-4</v>
      </c>
    </row>
    <row r="120" spans="1:16" x14ac:dyDescent="0.45">
      <c r="A120" t="s">
        <v>68</v>
      </c>
      <c r="B120">
        <v>24.394461701432601</v>
      </c>
      <c r="C120">
        <v>1.1419141466840199E-2</v>
      </c>
      <c r="D120">
        <v>3.5602345310675602E-4</v>
      </c>
      <c r="E120" s="1">
        <v>8.89360654545537E-9</v>
      </c>
      <c r="F120" s="1">
        <v>-3.0524288836082399E-9</v>
      </c>
      <c r="G120" s="1">
        <v>1.36179972048878E-9</v>
      </c>
      <c r="H120" s="1">
        <v>3.84581540983091E-7</v>
      </c>
      <c r="I120" s="2">
        <f t="shared" si="10"/>
        <v>-0.8771017508160136</v>
      </c>
      <c r="J120">
        <f ca="1">_xll.RiskNormal(C120,SQRT(E120),_xll.RiskCorrmat(betacorrelations,237))</f>
        <v>1.1419141466840199E-2</v>
      </c>
      <c r="K120">
        <f ca="1">_xll.RiskNormal(D120,SQRT(G120),_xll.RiskCorrmat(betacorrelations,238))</f>
        <v>3.5602345310675602E-4</v>
      </c>
      <c r="L120">
        <f ca="1">_xll.RiskNormal(0,SQRT(H120))</f>
        <v>0</v>
      </c>
      <c r="M120" s="1">
        <f t="shared" si="6"/>
        <v>1.1234301863656733E-2</v>
      </c>
      <c r="N120" s="1">
        <f t="shared" si="7"/>
        <v>2.8369441463513181E-4</v>
      </c>
      <c r="O120" s="1">
        <f t="shared" si="8"/>
        <v>1.1603981070023665E-2</v>
      </c>
      <c r="P120" s="1">
        <f t="shared" si="9"/>
        <v>4.2835249157838022E-4</v>
      </c>
    </row>
    <row r="121" spans="1:16" x14ac:dyDescent="0.45">
      <c r="A121" t="s">
        <v>13</v>
      </c>
      <c r="B121">
        <v>28.299610588999698</v>
      </c>
      <c r="C121">
        <v>1.6264071293490799E-2</v>
      </c>
      <c r="D121">
        <v>3.3345166392080301E-4</v>
      </c>
      <c r="E121" s="1">
        <v>2.5035281376463799E-8</v>
      </c>
      <c r="F121" s="1">
        <v>-7.4380786925487897E-9</v>
      </c>
      <c r="G121" s="1">
        <v>2.8737517203042901E-9</v>
      </c>
      <c r="H121" s="1">
        <v>1.76297827576649E-6</v>
      </c>
      <c r="I121" s="2">
        <f t="shared" si="10"/>
        <v>-0.87691986469427796</v>
      </c>
      <c r="J121">
        <f ca="1">_xll.RiskNormal(C121,SQRT(E121),_xll.RiskCorrmat(betacorrelations,239))</f>
        <v>1.6264071293490799E-2</v>
      </c>
      <c r="K121">
        <f ca="1">_xll.RiskNormal(D121,SQRT(G121),_xll.RiskCorrmat(betacorrelations,240))</f>
        <v>3.3345166392080301E-4</v>
      </c>
      <c r="L121">
        <f ca="1">_xll.RiskNormal(0,SQRT(H121))</f>
        <v>0</v>
      </c>
      <c r="M121" s="1">
        <f t="shared" si="6"/>
        <v>1.5953949483655014E-2</v>
      </c>
      <c r="N121" s="1">
        <f t="shared" si="7"/>
        <v>2.2838118943476599E-4</v>
      </c>
      <c r="O121" s="1">
        <f t="shared" si="8"/>
        <v>1.6574193103326584E-2</v>
      </c>
      <c r="P121" s="1">
        <f t="shared" si="9"/>
        <v>4.3852213840684003E-4</v>
      </c>
    </row>
    <row r="122" spans="1:16" x14ac:dyDescent="0.45">
      <c r="A122" t="s">
        <v>198</v>
      </c>
      <c r="B122">
        <v>26.374192967359701</v>
      </c>
      <c r="C122">
        <v>1.2567144246360899E-2</v>
      </c>
      <c r="D122">
        <v>4.86705053192219E-4</v>
      </c>
      <c r="E122" s="1">
        <v>2.70428422186513E-8</v>
      </c>
      <c r="F122" s="1">
        <v>-1.1019192221063399E-8</v>
      </c>
      <c r="G122" s="1">
        <v>5.9239788554940001E-9</v>
      </c>
      <c r="H122" s="1">
        <v>9.6478380151119504E-7</v>
      </c>
      <c r="I122" s="2">
        <f t="shared" si="10"/>
        <v>-0.87059635004546421</v>
      </c>
      <c r="J122">
        <f ca="1">_xll.RiskNormal(C122,SQRT(E122),_xll.RiskCorrmat(betacorrelations,241))</f>
        <v>1.2567144246360899E-2</v>
      </c>
      <c r="K122">
        <f ca="1">_xll.RiskNormal(D122,SQRT(G122),_xll.RiskCorrmat(betacorrelations,242))</f>
        <v>4.86705053192219E-4</v>
      </c>
      <c r="L122">
        <f ca="1">_xll.RiskNormal(0,SQRT(H122))</f>
        <v>0</v>
      </c>
      <c r="M122" s="1">
        <f t="shared" si="6"/>
        <v>1.2244827968976137E-2</v>
      </c>
      <c r="N122" s="1">
        <f t="shared" si="7"/>
        <v>3.3584897220353049E-4</v>
      </c>
      <c r="O122" s="1">
        <f t="shared" si="8"/>
        <v>1.2889460523745662E-2</v>
      </c>
      <c r="P122" s="1">
        <f t="shared" si="9"/>
        <v>6.3756113418090752E-4</v>
      </c>
    </row>
    <row r="123" spans="1:16" x14ac:dyDescent="0.45">
      <c r="A123" t="s">
        <v>100</v>
      </c>
      <c r="B123">
        <v>22.173513963962499</v>
      </c>
      <c r="C123">
        <v>8.3102101841852904E-3</v>
      </c>
      <c r="D123">
        <v>5.1446698371881104E-4</v>
      </c>
      <c r="E123" s="1">
        <v>1.65632523020534E-8</v>
      </c>
      <c r="F123" s="1">
        <v>-6.8627844638250897E-9</v>
      </c>
      <c r="G123" s="1">
        <v>3.72263946612195E-9</v>
      </c>
      <c r="H123" s="1">
        <v>5.3572739225891305E-7</v>
      </c>
      <c r="I123" s="2">
        <f t="shared" si="10"/>
        <v>-0.87398114240318936</v>
      </c>
      <c r="J123">
        <f ca="1">_xll.RiskNormal(C123,SQRT(E123),_xll.RiskCorrmat(betacorrelations,243))</f>
        <v>8.3102101841852904E-3</v>
      </c>
      <c r="K123">
        <f ca="1">_xll.RiskNormal(D123,SQRT(G123),_xll.RiskCorrmat(betacorrelations,244))</f>
        <v>5.1446698371881104E-4</v>
      </c>
      <c r="L123">
        <f ca="1">_xll.RiskNormal(0,SQRT(H123))</f>
        <v>0</v>
      </c>
      <c r="M123" s="1">
        <f t="shared" si="6"/>
        <v>8.0579615171054251E-3</v>
      </c>
      <c r="N123" s="1">
        <f t="shared" si="7"/>
        <v>3.948806476554711E-4</v>
      </c>
      <c r="O123" s="1">
        <f t="shared" si="8"/>
        <v>8.5624588512651558E-3</v>
      </c>
      <c r="P123" s="1">
        <f t="shared" si="9"/>
        <v>6.3405331978215094E-4</v>
      </c>
    </row>
    <row r="124" spans="1:16" x14ac:dyDescent="0.45">
      <c r="A124" t="s">
        <v>94</v>
      </c>
      <c r="B124">
        <v>22.701713049284201</v>
      </c>
      <c r="C124">
        <v>9.4585276617111594E-3</v>
      </c>
      <c r="D124">
        <v>3.5192313547523202E-4</v>
      </c>
      <c r="E124" s="1">
        <v>5.1900056242021101E-9</v>
      </c>
      <c r="F124" s="1">
        <v>-1.6534659414440499E-9</v>
      </c>
      <c r="G124" s="1">
        <v>6.86656118240331E-10</v>
      </c>
      <c r="H124" s="1">
        <v>3.0488707481315099E-7</v>
      </c>
      <c r="I124" s="2">
        <f t="shared" si="10"/>
        <v>-0.87587411635502566</v>
      </c>
      <c r="J124">
        <f ca="1">_xll.RiskNormal(C124,SQRT(E124),_xll.RiskCorrmat(betacorrelations,245))</f>
        <v>9.4585276617111594E-3</v>
      </c>
      <c r="K124">
        <f ca="1">_xll.RiskNormal(D124,SQRT(G124),_xll.RiskCorrmat(betacorrelations,246))</f>
        <v>3.5192313547523202E-4</v>
      </c>
      <c r="L124">
        <f ca="1">_xll.RiskNormal(0,SQRT(H124))</f>
        <v>0</v>
      </c>
      <c r="M124" s="1">
        <f t="shared" si="6"/>
        <v>9.3173259421538718E-3</v>
      </c>
      <c r="N124" s="1">
        <f t="shared" si="7"/>
        <v>3.0056305229936428E-4</v>
      </c>
      <c r="O124" s="1">
        <f t="shared" si="8"/>
        <v>9.5997293812684469E-3</v>
      </c>
      <c r="P124" s="1">
        <f t="shared" si="9"/>
        <v>4.0328321865109977E-4</v>
      </c>
    </row>
    <row r="125" spans="1:16" x14ac:dyDescent="0.45">
      <c r="A125" t="s">
        <v>140</v>
      </c>
      <c r="B125">
        <v>26.9354579490739</v>
      </c>
      <c r="C125">
        <v>1.214273312075E-2</v>
      </c>
      <c r="D125">
        <v>4.0022150392285801E-4</v>
      </c>
      <c r="E125" s="1">
        <v>1.03741631212791E-8</v>
      </c>
      <c r="F125" s="1">
        <v>-4.0572024375881098E-9</v>
      </c>
      <c r="G125" s="1">
        <v>2.12747237732839E-9</v>
      </c>
      <c r="H125" s="1">
        <v>3.0867548753768198E-7</v>
      </c>
      <c r="I125" s="2">
        <f t="shared" si="10"/>
        <v>-0.86361102207937368</v>
      </c>
      <c r="J125">
        <f ca="1">_xll.RiskNormal(C125,SQRT(E125),_xll.RiskCorrmat(betacorrelations,247))</f>
        <v>1.214273312075E-2</v>
      </c>
      <c r="K125">
        <f ca="1">_xll.RiskNormal(D125,SQRT(G125),_xll.RiskCorrmat(betacorrelations,248))</f>
        <v>4.0022150392285801E-4</v>
      </c>
      <c r="L125">
        <f ca="1">_xll.RiskNormal(0,SQRT(H125))</f>
        <v>0</v>
      </c>
      <c r="M125" s="1">
        <f t="shared" si="6"/>
        <v>1.1943099994624335E-2</v>
      </c>
      <c r="N125" s="1">
        <f t="shared" si="7"/>
        <v>3.0981742279404646E-4</v>
      </c>
      <c r="O125" s="1">
        <f t="shared" si="8"/>
        <v>1.2342366246875664E-2</v>
      </c>
      <c r="P125" s="1">
        <f t="shared" si="9"/>
        <v>4.9062558505166961E-4</v>
      </c>
    </row>
    <row r="126" spans="1:16" x14ac:dyDescent="0.45">
      <c r="A126" t="s">
        <v>34</v>
      </c>
      <c r="B126">
        <v>21.950458889282</v>
      </c>
      <c r="C126">
        <v>7.21634478245639E-3</v>
      </c>
      <c r="D126">
        <v>3.9142175136795899E-4</v>
      </c>
      <c r="E126" s="1">
        <v>3.8799918334360901E-9</v>
      </c>
      <c r="F126" s="1">
        <v>-1.06682454609177E-9</v>
      </c>
      <c r="G126" s="1">
        <v>3.7970375217699803E-10</v>
      </c>
      <c r="H126" s="1">
        <v>3.6609146029002902E-7</v>
      </c>
      <c r="I126" s="2">
        <f t="shared" si="10"/>
        <v>-0.87893174297312715</v>
      </c>
      <c r="J126">
        <f ca="1">_xll.RiskNormal(C126,SQRT(E126),_xll.RiskCorrmat(betacorrelations,249))</f>
        <v>7.21634478245639E-3</v>
      </c>
      <c r="K126">
        <f ca="1">_xll.RiskNormal(D126,SQRT(G126),_xll.RiskCorrmat(betacorrelations,250))</f>
        <v>3.9142175136795899E-4</v>
      </c>
      <c r="L126">
        <f ca="1">_xll.RiskNormal(0,SQRT(H126))</f>
        <v>0</v>
      </c>
      <c r="M126" s="1">
        <f t="shared" si="6"/>
        <v>7.0942572047618183E-3</v>
      </c>
      <c r="N126" s="1">
        <f t="shared" si="7"/>
        <v>3.5322921368894169E-4</v>
      </c>
      <c r="O126" s="1">
        <f t="shared" si="8"/>
        <v>7.3384323601509618E-3</v>
      </c>
      <c r="P126" s="1">
        <f t="shared" si="9"/>
        <v>4.2961428904697628E-4</v>
      </c>
    </row>
    <row r="127" spans="1:16" x14ac:dyDescent="0.45">
      <c r="A127" t="s">
        <v>22</v>
      </c>
      <c r="B127">
        <v>21.313072357247599</v>
      </c>
      <c r="C127">
        <v>7.7629180693063399E-3</v>
      </c>
      <c r="D127">
        <v>4.7893842883879199E-4</v>
      </c>
      <c r="E127" s="1">
        <v>8.64704119548942E-9</v>
      </c>
      <c r="F127" s="1">
        <v>-3.6518618773961901E-9</v>
      </c>
      <c r="G127" s="1">
        <v>2.0579813547436302E-9</v>
      </c>
      <c r="H127" s="1">
        <v>2.5869006807956999E-7</v>
      </c>
      <c r="I127" s="2">
        <f t="shared" si="10"/>
        <v>-0.86568493773102106</v>
      </c>
      <c r="J127">
        <f ca="1">_xll.RiskNormal(C127,SQRT(E127),_xll.RiskCorrmat(betacorrelations,251))</f>
        <v>7.7629180693063399E-3</v>
      </c>
      <c r="K127">
        <f ca="1">_xll.RiskNormal(D127,SQRT(G127),_xll.RiskCorrmat(betacorrelations,252))</f>
        <v>4.7893842883879199E-4</v>
      </c>
      <c r="L127">
        <f ca="1">_xll.RiskNormal(0,SQRT(H127))</f>
        <v>0</v>
      </c>
      <c r="M127" s="1">
        <f t="shared" si="6"/>
        <v>7.5806587116409732E-3</v>
      </c>
      <c r="N127" s="1">
        <f t="shared" si="7"/>
        <v>3.9002306924112106E-4</v>
      </c>
      <c r="O127" s="1">
        <f t="shared" si="8"/>
        <v>7.9451774269717074E-3</v>
      </c>
      <c r="P127" s="1">
        <f t="shared" si="9"/>
        <v>5.6785378843646293E-4</v>
      </c>
    </row>
    <row r="128" spans="1:16" x14ac:dyDescent="0.45">
      <c r="A128" t="s">
        <v>49</v>
      </c>
      <c r="B128">
        <v>28.8518988296773</v>
      </c>
      <c r="C128">
        <v>1.5609697522574399E-2</v>
      </c>
      <c r="D128">
        <v>3.48372292408347E-4</v>
      </c>
      <c r="E128" s="1">
        <v>3.83238035301975E-8</v>
      </c>
      <c r="F128" s="1">
        <v>-1.09272912635546E-8</v>
      </c>
      <c r="G128" s="1">
        <v>3.9893511776719597E-9</v>
      </c>
      <c r="H128" s="1">
        <v>2.2584882256095499E-6</v>
      </c>
      <c r="I128" s="2">
        <f t="shared" si="10"/>
        <v>-0.88374522953674839</v>
      </c>
      <c r="J128">
        <f ca="1">_xll.RiskNormal(C128,SQRT(E128),_xll.RiskCorrmat(betacorrelations,253))</f>
        <v>1.5609697522574399E-2</v>
      </c>
      <c r="K128">
        <f ca="1">_xll.RiskNormal(D128,SQRT(G128),_xll.RiskCorrmat(betacorrelations,254))</f>
        <v>3.48372292408347E-4</v>
      </c>
      <c r="L128">
        <f ca="1">_xll.RiskNormal(0,SQRT(H128))</f>
        <v>0</v>
      </c>
      <c r="M128" s="1">
        <f t="shared" si="6"/>
        <v>1.5225998781839422E-2</v>
      </c>
      <c r="N128" s="1">
        <f t="shared" si="7"/>
        <v>2.2457612330709976E-4</v>
      </c>
      <c r="O128" s="1">
        <f t="shared" si="8"/>
        <v>1.5993396263309374E-2</v>
      </c>
      <c r="P128" s="1">
        <f t="shared" si="9"/>
        <v>4.7216846150959424E-4</v>
      </c>
    </row>
    <row r="129" spans="1:16" x14ac:dyDescent="0.45">
      <c r="A129" t="s">
        <v>44</v>
      </c>
      <c r="B129">
        <v>27.017774539056202</v>
      </c>
      <c r="C129">
        <v>1.42061505794776E-2</v>
      </c>
      <c r="D129">
        <v>2.8444586510738799E-4</v>
      </c>
      <c r="E129" s="1">
        <v>9.9120659248012099E-9</v>
      </c>
      <c r="F129" s="1">
        <v>-3.14951877944813E-9</v>
      </c>
      <c r="G129" s="1">
        <v>1.3041086175838801E-9</v>
      </c>
      <c r="H129" s="1">
        <v>4.17958704783337E-7</v>
      </c>
      <c r="I129" s="2">
        <f t="shared" si="10"/>
        <v>-0.87600226469297526</v>
      </c>
      <c r="J129">
        <f ca="1">_xll.RiskNormal(C129,SQRT(E129),_xll.RiskCorrmat(betacorrelations,255))</f>
        <v>1.42061505794776E-2</v>
      </c>
      <c r="K129">
        <f ca="1">_xll.RiskNormal(D129,SQRT(G129),_xll.RiskCorrmat(betacorrelations,256))</f>
        <v>2.8444586510738799E-4</v>
      </c>
      <c r="L129">
        <f ca="1">_xll.RiskNormal(0,SQRT(H129))</f>
        <v>0</v>
      </c>
      <c r="M129" s="1">
        <f t="shared" si="6"/>
        <v>1.401101423622828E-2</v>
      </c>
      <c r="N129" s="1">
        <f t="shared" si="7"/>
        <v>2.1366547470644267E-4</v>
      </c>
      <c r="O129" s="1">
        <f t="shared" si="8"/>
        <v>1.440128692272692E-2</v>
      </c>
      <c r="P129" s="1">
        <f t="shared" si="9"/>
        <v>3.5522625550833329E-4</v>
      </c>
    </row>
    <row r="130" spans="1:16" x14ac:dyDescent="0.45">
      <c r="A130" t="s">
        <v>196</v>
      </c>
      <c r="B130">
        <v>25.333547672265201</v>
      </c>
      <c r="C130">
        <v>1.14002721877875E-2</v>
      </c>
      <c r="D130">
        <v>3.8998551937734297E-4</v>
      </c>
      <c r="E130" s="1">
        <v>8.3772449399842695E-9</v>
      </c>
      <c r="F130" s="1">
        <v>-2.8729662178741702E-9</v>
      </c>
      <c r="G130" s="1">
        <v>1.29422576863276E-9</v>
      </c>
      <c r="H130" s="1">
        <v>5.0484291709076303E-7</v>
      </c>
      <c r="I130" s="2">
        <f t="shared" si="10"/>
        <v>-0.87251899630745078</v>
      </c>
      <c r="J130">
        <f ca="1">_xll.RiskNormal(C130,SQRT(E130),_xll.RiskCorrmat(betacorrelations,257))</f>
        <v>1.14002721877875E-2</v>
      </c>
      <c r="K130">
        <f ca="1">_xll.RiskNormal(D130,SQRT(G130),_xll.RiskCorrmat(betacorrelations,258))</f>
        <v>3.8998551937734297E-4</v>
      </c>
      <c r="L130">
        <f ca="1">_xll.RiskNormal(0,SQRT(H130))</f>
        <v>0</v>
      </c>
      <c r="M130" s="1">
        <f t="shared" si="6"/>
        <v>1.122087869804653E-2</v>
      </c>
      <c r="N130" s="1">
        <f t="shared" si="7"/>
        <v>3.194738344394576E-4</v>
      </c>
      <c r="O130" s="1">
        <f t="shared" si="8"/>
        <v>1.157966567752847E-2</v>
      </c>
      <c r="P130" s="1">
        <f t="shared" si="9"/>
        <v>4.6049720431522834E-4</v>
      </c>
    </row>
    <row r="131" spans="1:16" x14ac:dyDescent="0.45">
      <c r="A131" t="s">
        <v>112</v>
      </c>
      <c r="B131">
        <v>9.6520542293681704</v>
      </c>
      <c r="C131">
        <v>-3.2848477229018699E-3</v>
      </c>
      <c r="D131">
        <v>4.6460146534405298E-4</v>
      </c>
      <c r="E131" s="1">
        <v>9.2478901769667003E-10</v>
      </c>
      <c r="F131" s="1">
        <v>-3.0293071809018199E-10</v>
      </c>
      <c r="G131" s="1">
        <v>1.2413093247169601E-10</v>
      </c>
      <c r="H131" s="1">
        <v>3.3092088899627001E-8</v>
      </c>
      <c r="I131" s="2">
        <f t="shared" si="10"/>
        <v>-0.89409151538802967</v>
      </c>
      <c r="J131">
        <f ca="1">_xll.RiskNormal(C131,SQRT(E131),_xll.RiskCorrmat(betacorrelations,259))</f>
        <v>-3.2848477229018699E-3</v>
      </c>
      <c r="K131">
        <f ca="1">_xll.RiskNormal(D131,SQRT(G131),_xll.RiskCorrmat(betacorrelations,260))</f>
        <v>4.6460146534405298E-4</v>
      </c>
      <c r="L131">
        <f ca="1">_xll.RiskNormal(0,SQRT(H131))</f>
        <v>0</v>
      </c>
      <c r="M131" s="1">
        <f t="shared" ref="M131:M194" si="11">C131-1.96*SQRT(E131)</f>
        <v>-3.3444519969967998E-3</v>
      </c>
      <c r="N131" s="1">
        <f t="shared" ref="N131:N194" si="12">D131-1.96*SQRT(G131)</f>
        <v>4.4276430916053707E-4</v>
      </c>
      <c r="O131" s="1">
        <f t="shared" ref="O131:O194" si="13">C131+1.96*SQRT(E131)</f>
        <v>-3.22524344880694E-3</v>
      </c>
      <c r="P131" s="1">
        <f t="shared" ref="P131:P194" si="14">D131+1.96*SQRT(G131)</f>
        <v>4.8643862152756889E-4</v>
      </c>
    </row>
    <row r="132" spans="1:16" x14ac:dyDescent="0.45">
      <c r="A132" t="s">
        <v>18</v>
      </c>
      <c r="B132">
        <v>3.5148362715910499</v>
      </c>
      <c r="C132">
        <v>-1.2748282185517599E-2</v>
      </c>
      <c r="D132">
        <v>6.0313599885416602E-4</v>
      </c>
      <c r="E132" s="1">
        <v>1.29111022217717E-8</v>
      </c>
      <c r="F132" s="1">
        <v>-3.09128053329653E-9</v>
      </c>
      <c r="G132" s="1">
        <v>8.8361911324399997E-10</v>
      </c>
      <c r="H132" s="1">
        <v>6.7567292560855705E-7</v>
      </c>
      <c r="I132" s="2">
        <f t="shared" si="10"/>
        <v>-0.91521727409168308</v>
      </c>
      <c r="J132">
        <f ca="1">_xll.RiskNormal(C132,SQRT(E132),_xll.RiskCorrmat(betacorrelations,261))</f>
        <v>-1.2748282185517599E-2</v>
      </c>
      <c r="K132">
        <f ca="1">_xll.RiskNormal(D132,SQRT(G132),_xll.RiskCorrmat(betacorrelations,262))</f>
        <v>6.0313599885416602E-4</v>
      </c>
      <c r="L132">
        <f ca="1">_xll.RiskNormal(0,SQRT(H132))</f>
        <v>0</v>
      </c>
      <c r="M132" s="1">
        <f t="shared" si="11"/>
        <v>-1.2970991166690695E-2</v>
      </c>
      <c r="N132" s="1">
        <f t="shared" si="12"/>
        <v>5.4487356511304813E-4</v>
      </c>
      <c r="O132" s="1">
        <f t="shared" si="13"/>
        <v>-1.2525573204344503E-2</v>
      </c>
      <c r="P132" s="1">
        <f t="shared" si="14"/>
        <v>6.6139843259528392E-4</v>
      </c>
    </row>
    <row r="133" spans="1:16" x14ac:dyDescent="0.45">
      <c r="A133" t="s">
        <v>183</v>
      </c>
      <c r="B133">
        <v>19.845809921272</v>
      </c>
      <c r="C133" s="1">
        <v>-8.1314044019677004E-6</v>
      </c>
      <c r="D133">
        <v>4.9732887752783296E-4</v>
      </c>
      <c r="E133" s="1">
        <v>1.24658171419078E-10</v>
      </c>
      <c r="F133" s="1">
        <v>-3.9130590318863001E-11</v>
      </c>
      <c r="G133" s="1">
        <v>1.73147425974386E-11</v>
      </c>
      <c r="H133" s="1">
        <v>1.8632198294153801E-8</v>
      </c>
      <c r="I133" s="2">
        <f t="shared" si="10"/>
        <v>-0.84226354483497479</v>
      </c>
      <c r="J133">
        <f ca="1">_xll.RiskNormal(C133,SQRT(E133),_xll.RiskCorrmat(betacorrelations,263))</f>
        <v>-8.1314044019677004E-6</v>
      </c>
      <c r="K133">
        <f ca="1">_xll.RiskNormal(D133,SQRT(G133),_xll.RiskCorrmat(betacorrelations,264))</f>
        <v>4.9732887752783296E-4</v>
      </c>
      <c r="L133">
        <f ca="1">_xll.RiskNormal(0,SQRT(H133))</f>
        <v>0</v>
      </c>
      <c r="M133" s="1">
        <f t="shared" si="11"/>
        <v>-3.0014887473077063E-5</v>
      </c>
      <c r="N133" s="1">
        <f t="shared" si="12"/>
        <v>4.89173124027247E-4</v>
      </c>
      <c r="O133" s="1">
        <f t="shared" si="13"/>
        <v>1.3752078669141662E-5</v>
      </c>
      <c r="P133" s="1">
        <f t="shared" si="14"/>
        <v>5.0548463102841892E-4</v>
      </c>
    </row>
    <row r="134" spans="1:16" x14ac:dyDescent="0.45">
      <c r="A134" t="s">
        <v>179</v>
      </c>
      <c r="B134">
        <v>26.848405996160299</v>
      </c>
      <c r="C134">
        <v>1.25106217898001E-2</v>
      </c>
      <c r="D134">
        <v>4.65266444123704E-4</v>
      </c>
      <c r="E134" s="1">
        <v>4.6068451730983002E-8</v>
      </c>
      <c r="F134" s="1">
        <v>-1.5853216556735102E-8</v>
      </c>
      <c r="G134" s="1">
        <v>7.0604457730713402E-9</v>
      </c>
      <c r="H134" s="1">
        <v>1.9612790661119598E-6</v>
      </c>
      <c r="I134" s="2">
        <f t="shared" si="10"/>
        <v>-0.87902155117041092</v>
      </c>
      <c r="J134">
        <f ca="1">_xll.RiskNormal(C134,SQRT(E134),_xll.RiskCorrmat(betacorrelations,265))</f>
        <v>1.25106217898001E-2</v>
      </c>
      <c r="K134">
        <f ca="1">_xll.RiskNormal(D134,SQRT(G134),_xll.RiskCorrmat(betacorrelations,266))</f>
        <v>4.65266444123704E-4</v>
      </c>
      <c r="L134">
        <f ca="1">_xll.RiskNormal(0,SQRT(H134))</f>
        <v>0</v>
      </c>
      <c r="M134" s="1">
        <f t="shared" si="11"/>
        <v>1.2089935963832853E-2</v>
      </c>
      <c r="N134" s="1">
        <f t="shared" si="12"/>
        <v>3.0057458493864631E-4</v>
      </c>
      <c r="O134" s="1">
        <f t="shared" si="13"/>
        <v>1.2931307615767346E-2</v>
      </c>
      <c r="P134" s="1">
        <f t="shared" si="14"/>
        <v>6.2995830330876169E-4</v>
      </c>
    </row>
    <row r="135" spans="1:16" x14ac:dyDescent="0.45">
      <c r="A135" t="s">
        <v>146</v>
      </c>
      <c r="B135">
        <v>12.2299951587033</v>
      </c>
      <c r="C135">
        <v>-2.6749040370011301E-3</v>
      </c>
      <c r="D135">
        <v>4.5273191585165401E-4</v>
      </c>
      <c r="E135" s="1">
        <v>5.8430260613750803E-10</v>
      </c>
      <c r="F135" s="1">
        <v>-2.4302921007423898E-10</v>
      </c>
      <c r="G135" s="1">
        <v>1.3374124766649899E-10</v>
      </c>
      <c r="H135" s="1">
        <v>8.4830641975373108E-9</v>
      </c>
      <c r="I135" s="2">
        <f t="shared" si="10"/>
        <v>-0.86937446165028853</v>
      </c>
      <c r="J135">
        <f ca="1">_xll.RiskNormal(C135,SQRT(E135),_xll.RiskCorrmat(betacorrelations,267))</f>
        <v>-2.6749040370011301E-3</v>
      </c>
      <c r="K135">
        <f ca="1">_xll.RiskNormal(D135,SQRT(G135),_xll.RiskCorrmat(betacorrelations,268))</f>
        <v>4.5273191585165401E-4</v>
      </c>
      <c r="L135">
        <f ca="1">_xll.RiskNormal(0,SQRT(H135))</f>
        <v>0</v>
      </c>
      <c r="M135" s="1">
        <f t="shared" si="11"/>
        <v>-2.7222818471208249E-3</v>
      </c>
      <c r="N135" s="1">
        <f t="shared" si="12"/>
        <v>4.3006519184848977E-4</v>
      </c>
      <c r="O135" s="1">
        <f t="shared" si="13"/>
        <v>-2.6275262268814353E-3</v>
      </c>
      <c r="P135" s="1">
        <f t="shared" si="14"/>
        <v>4.7539863985481825E-4</v>
      </c>
    </row>
    <row r="136" spans="1:16" x14ac:dyDescent="0.45">
      <c r="A136" t="s">
        <v>177</v>
      </c>
      <c r="B136">
        <v>25.576363307756001</v>
      </c>
      <c r="C136">
        <v>1.20132049098864E-2</v>
      </c>
      <c r="D136">
        <v>3.38143256811839E-4</v>
      </c>
      <c r="E136" s="1">
        <v>8.0147884075438803E-9</v>
      </c>
      <c r="F136" s="1">
        <v>-2.5804751560446102E-9</v>
      </c>
      <c r="G136" s="1">
        <v>1.1042292619981601E-9</v>
      </c>
      <c r="H136" s="1">
        <v>3.2570948710062102E-7</v>
      </c>
      <c r="I136" s="2">
        <f t="shared" si="10"/>
        <v>-0.86740920308894787</v>
      </c>
      <c r="J136">
        <f ca="1">_xll.RiskNormal(C136,SQRT(E136),_xll.RiskCorrmat(betacorrelations,269))</f>
        <v>1.20132049098864E-2</v>
      </c>
      <c r="K136">
        <f ca="1">_xll.RiskNormal(D136,SQRT(G136),_xll.RiskCorrmat(betacorrelations,270))</f>
        <v>3.38143256811839E-4</v>
      </c>
      <c r="L136">
        <f ca="1">_xll.RiskNormal(0,SQRT(H136))</f>
        <v>0</v>
      </c>
      <c r="M136" s="1">
        <f t="shared" si="11"/>
        <v>1.1837735222628399E-2</v>
      </c>
      <c r="N136" s="1">
        <f t="shared" si="12"/>
        <v>2.7301256410178004E-4</v>
      </c>
      <c r="O136" s="1">
        <f t="shared" si="13"/>
        <v>1.2188674597144402E-2</v>
      </c>
      <c r="P136" s="1">
        <f t="shared" si="14"/>
        <v>4.0327394952189796E-4</v>
      </c>
    </row>
    <row r="137" spans="1:16" x14ac:dyDescent="0.45">
      <c r="A137" t="s">
        <v>142</v>
      </c>
      <c r="B137">
        <v>23.4399759989609</v>
      </c>
      <c r="C137">
        <v>7.2474859128044697E-3</v>
      </c>
      <c r="D137">
        <v>3.3509057918969498E-4</v>
      </c>
      <c r="E137" s="1">
        <v>4.0586303991385598E-9</v>
      </c>
      <c r="F137" s="1">
        <v>-1.0876933552381299E-9</v>
      </c>
      <c r="G137" s="1">
        <v>3.8905744576318102E-10</v>
      </c>
      <c r="H137" s="1">
        <v>5.0963734572273796E-7</v>
      </c>
      <c r="I137" s="2">
        <f t="shared" si="10"/>
        <v>-0.86558527114842509</v>
      </c>
      <c r="J137">
        <f ca="1">_xll.RiskNormal(C137,SQRT(E137),_xll.RiskCorrmat(betacorrelations,271))</f>
        <v>7.2474859128044697E-3</v>
      </c>
      <c r="K137">
        <f ca="1">_xll.RiskNormal(D137,SQRT(G137),_xll.RiskCorrmat(betacorrelations,272))</f>
        <v>3.3509057918969498E-4</v>
      </c>
      <c r="L137">
        <f ca="1">_xll.RiskNormal(0,SQRT(H137))</f>
        <v>0</v>
      </c>
      <c r="M137" s="1">
        <f t="shared" si="11"/>
        <v>7.1226194459635649E-3</v>
      </c>
      <c r="N137" s="1">
        <f t="shared" si="12"/>
        <v>2.9643048240187206E-4</v>
      </c>
      <c r="O137" s="1">
        <f t="shared" si="13"/>
        <v>7.3723523796453746E-3</v>
      </c>
      <c r="P137" s="1">
        <f t="shared" si="14"/>
        <v>3.7375067597751789E-4</v>
      </c>
    </row>
    <row r="138" spans="1:16" x14ac:dyDescent="0.45">
      <c r="A138" t="s">
        <v>143</v>
      </c>
      <c r="B138">
        <v>25.706305458624001</v>
      </c>
      <c r="C138">
        <v>1.1447505352418799E-2</v>
      </c>
      <c r="D138">
        <v>3.6471699453531002E-4</v>
      </c>
      <c r="E138" s="1">
        <v>1.0088498762764399E-8</v>
      </c>
      <c r="F138" s="1">
        <v>-3.5420995362196502E-9</v>
      </c>
      <c r="G138" s="1">
        <v>1.6050275097256001E-9</v>
      </c>
      <c r="H138" s="1">
        <v>4.3107871683425198E-7</v>
      </c>
      <c r="I138" s="2">
        <f t="shared" si="10"/>
        <v>-0.88025043490484567</v>
      </c>
      <c r="J138">
        <f ca="1">_xll.RiskNormal(C138,SQRT(E138),_xll.RiskCorrmat(betacorrelations,273))</f>
        <v>1.1447505352418799E-2</v>
      </c>
      <c r="K138">
        <f ca="1">_xll.RiskNormal(D138,SQRT(G138),_xll.RiskCorrmat(betacorrelations,274))</f>
        <v>3.6471699453531002E-4</v>
      </c>
      <c r="L138">
        <f ca="1">_xll.RiskNormal(0,SQRT(H138))</f>
        <v>0</v>
      </c>
      <c r="M138" s="1">
        <f t="shared" si="11"/>
        <v>1.1250639974947199E-2</v>
      </c>
      <c r="N138" s="1">
        <f t="shared" si="12"/>
        <v>2.8619391715444149E-4</v>
      </c>
      <c r="O138" s="1">
        <f t="shared" si="13"/>
        <v>1.1644370729890399E-2</v>
      </c>
      <c r="P138" s="1">
        <f t="shared" si="14"/>
        <v>4.4324007191617854E-4</v>
      </c>
    </row>
    <row r="139" spans="1:16" x14ac:dyDescent="0.45">
      <c r="A139" t="s">
        <v>76</v>
      </c>
      <c r="B139">
        <v>18.158058880287602</v>
      </c>
      <c r="C139">
        <v>7.3798822417891702E-3</v>
      </c>
      <c r="D139">
        <v>4.83767940630829E-4</v>
      </c>
      <c r="E139" s="1">
        <v>6.4435114934329001E-9</v>
      </c>
      <c r="F139" s="1">
        <v>-2.1577137138451902E-9</v>
      </c>
      <c r="G139" s="1">
        <v>9.8051457620752898E-10</v>
      </c>
      <c r="H139" s="1">
        <v>2.97425826414146E-7</v>
      </c>
      <c r="I139" s="2">
        <f t="shared" si="10"/>
        <v>-0.85843119432814519</v>
      </c>
      <c r="J139">
        <f ca="1">_xll.RiskNormal(C139,SQRT(E139),_xll.RiskCorrmat(betacorrelations,275))</f>
        <v>7.3798822417891702E-3</v>
      </c>
      <c r="K139">
        <f ca="1">_xll.RiskNormal(D139,SQRT(G139),_xll.RiskCorrmat(betacorrelations,276))</f>
        <v>4.83767940630829E-4</v>
      </c>
      <c r="L139">
        <f ca="1">_xll.RiskNormal(0,SQRT(H139))</f>
        <v>0</v>
      </c>
      <c r="M139" s="1">
        <f t="shared" si="11"/>
        <v>7.2225501288777499E-3</v>
      </c>
      <c r="N139" s="1">
        <f t="shared" si="12"/>
        <v>4.2239412865895581E-4</v>
      </c>
      <c r="O139" s="1">
        <f t="shared" si="13"/>
        <v>7.5372143547005905E-3</v>
      </c>
      <c r="P139" s="1">
        <f t="shared" si="14"/>
        <v>5.4514175260270213E-4</v>
      </c>
    </row>
    <row r="140" spans="1:16" x14ac:dyDescent="0.45">
      <c r="A140" t="s">
        <v>189</v>
      </c>
      <c r="B140">
        <v>25.941455365128402</v>
      </c>
      <c r="C140">
        <v>1.15785620076759E-2</v>
      </c>
      <c r="D140">
        <v>3.2093613201969099E-4</v>
      </c>
      <c r="E140" s="1">
        <v>9.4290580276687993E-9</v>
      </c>
      <c r="F140" s="1">
        <v>-3.70230233105012E-9</v>
      </c>
      <c r="G140" s="1">
        <v>1.9263599648683601E-9</v>
      </c>
      <c r="H140" s="1">
        <v>3.3291493131471401E-7</v>
      </c>
      <c r="I140" s="2">
        <f t="shared" si="10"/>
        <v>-0.86869836544354717</v>
      </c>
      <c r="J140">
        <f ca="1">_xll.RiskNormal(C140,SQRT(E140),_xll.RiskCorrmat(betacorrelations,277))</f>
        <v>1.15785620076759E-2</v>
      </c>
      <c r="K140">
        <f ca="1">_xll.RiskNormal(D140,SQRT(G140),_xll.RiskCorrmat(betacorrelations,278))</f>
        <v>3.2093613201969099E-4</v>
      </c>
      <c r="L140">
        <f ca="1">_xll.RiskNormal(0,SQRT(H140))</f>
        <v>0</v>
      </c>
      <c r="M140" s="1">
        <f t="shared" si="11"/>
        <v>1.1388239467447233E-2</v>
      </c>
      <c r="N140" s="1">
        <f t="shared" si="12"/>
        <v>2.3491110983987233E-4</v>
      </c>
      <c r="O140" s="1">
        <f t="shared" si="13"/>
        <v>1.1768884547904567E-2</v>
      </c>
      <c r="P140" s="1">
        <f t="shared" si="14"/>
        <v>4.0696115419950967E-4</v>
      </c>
    </row>
    <row r="141" spans="1:16" x14ac:dyDescent="0.45">
      <c r="A141" t="s">
        <v>197</v>
      </c>
      <c r="B141">
        <v>27.648907456688999</v>
      </c>
      <c r="C141">
        <v>1.3294380508673299E-2</v>
      </c>
      <c r="D141">
        <v>5.3396909074925601E-4</v>
      </c>
      <c r="E141" s="1">
        <v>1.74329359472789E-8</v>
      </c>
      <c r="F141" s="1">
        <v>-7.0667804153227499E-9</v>
      </c>
      <c r="G141" s="1">
        <v>4.0700798308780997E-9</v>
      </c>
      <c r="H141" s="1">
        <v>6.9091450751714096E-7</v>
      </c>
      <c r="I141" s="2">
        <f t="shared" si="10"/>
        <v>-0.83894765749086975</v>
      </c>
      <c r="J141">
        <f ca="1">_xll.RiskNormal(C141,SQRT(E141),_xll.RiskCorrmat(betacorrelations,279))</f>
        <v>1.3294380508673299E-2</v>
      </c>
      <c r="K141">
        <f ca="1">_xll.RiskNormal(D141,SQRT(G141),_xll.RiskCorrmat(betacorrelations,280))</f>
        <v>5.3396909074925601E-4</v>
      </c>
      <c r="L141">
        <f ca="1">_xll.RiskNormal(0,SQRT(H141))</f>
        <v>0</v>
      </c>
      <c r="M141" s="1">
        <f t="shared" si="11"/>
        <v>1.3035594174538232E-2</v>
      </c>
      <c r="N141" s="1">
        <f t="shared" si="12"/>
        <v>4.0892662325000477E-4</v>
      </c>
      <c r="O141" s="1">
        <f t="shared" si="13"/>
        <v>1.3553166842808367E-2</v>
      </c>
      <c r="P141" s="1">
        <f t="shared" si="14"/>
        <v>6.5901155824850725E-4</v>
      </c>
    </row>
    <row r="142" spans="1:16" x14ac:dyDescent="0.45">
      <c r="A142" t="s">
        <v>11</v>
      </c>
      <c r="B142">
        <v>23.848090792798001</v>
      </c>
      <c r="C142">
        <v>1.13641109109939E-2</v>
      </c>
      <c r="D142">
        <v>4.30502126011468E-4</v>
      </c>
      <c r="E142" s="1">
        <v>6.14395548519376E-9</v>
      </c>
      <c r="F142" s="1">
        <v>-2.59757668929507E-9</v>
      </c>
      <c r="G142" s="1">
        <v>1.5250590435616399E-9</v>
      </c>
      <c r="H142" s="1">
        <v>2.12523417731361E-7</v>
      </c>
      <c r="I142" s="2">
        <f t="shared" si="10"/>
        <v>-0.84859607570561268</v>
      </c>
      <c r="J142">
        <f ca="1">_xll.RiskNormal(C142,SQRT(E142),_xll.RiskCorrmat(betacorrelations,281))</f>
        <v>1.13641109109939E-2</v>
      </c>
      <c r="K142">
        <f ca="1">_xll.RiskNormal(D142,SQRT(G142),_xll.RiskCorrmat(betacorrelations,282))</f>
        <v>4.30502126011468E-4</v>
      </c>
      <c r="L142">
        <f ca="1">_xll.RiskNormal(0,SQRT(H142))</f>
        <v>0</v>
      </c>
      <c r="M142" s="1">
        <f t="shared" si="11"/>
        <v>1.1210479470878538E-2</v>
      </c>
      <c r="N142" s="1">
        <f t="shared" si="12"/>
        <v>3.5396019749025555E-4</v>
      </c>
      <c r="O142" s="1">
        <f t="shared" si="13"/>
        <v>1.1517742351109262E-2</v>
      </c>
      <c r="P142" s="1">
        <f t="shared" si="14"/>
        <v>5.0704405453268046E-4</v>
      </c>
    </row>
    <row r="143" spans="1:16" x14ac:dyDescent="0.45">
      <c r="A143" t="s">
        <v>116</v>
      </c>
      <c r="B143">
        <v>8.0894297688872108</v>
      </c>
      <c r="C143">
        <v>-4.8722695287805396E-3</v>
      </c>
      <c r="D143">
        <v>4.8617298182089801E-4</v>
      </c>
      <c r="E143" s="1">
        <v>1.6307805278308201E-9</v>
      </c>
      <c r="F143" s="1">
        <v>-4.1364788044143799E-10</v>
      </c>
      <c r="G143" s="1">
        <v>1.2777480338065601E-10</v>
      </c>
      <c r="H143" s="1">
        <v>8.7137950586618094E-8</v>
      </c>
      <c r="I143" s="2">
        <f t="shared" si="10"/>
        <v>-0.9061715730377522</v>
      </c>
      <c r="J143">
        <f ca="1">_xll.RiskNormal(C143,SQRT(E143),_xll.RiskCorrmat(betacorrelations,283))</f>
        <v>-4.8722695287805396E-3</v>
      </c>
      <c r="K143">
        <f ca="1">_xll.RiskNormal(D143,SQRT(G143),_xll.RiskCorrmat(betacorrelations,284))</f>
        <v>4.8617298182089801E-4</v>
      </c>
      <c r="L143">
        <f ca="1">_xll.RiskNormal(0,SQRT(H143))</f>
        <v>0</v>
      </c>
      <c r="M143" s="1">
        <f t="shared" si="11"/>
        <v>-4.9514200592633787E-3</v>
      </c>
      <c r="N143" s="1">
        <f t="shared" si="12"/>
        <v>4.6401762841213635E-4</v>
      </c>
      <c r="O143" s="1">
        <f t="shared" si="13"/>
        <v>-4.7931189982977004E-3</v>
      </c>
      <c r="P143" s="1">
        <f t="shared" si="14"/>
        <v>5.0832833522965973E-4</v>
      </c>
    </row>
    <row r="144" spans="1:16" x14ac:dyDescent="0.45">
      <c r="A144" t="s">
        <v>108</v>
      </c>
      <c r="B144">
        <v>25.0370656411426</v>
      </c>
      <c r="C144">
        <v>1.10270022828758E-2</v>
      </c>
      <c r="D144">
        <v>4.6120353261908201E-4</v>
      </c>
      <c r="E144" s="1">
        <v>1.6516617856680999E-8</v>
      </c>
      <c r="F144" s="1">
        <v>-6.5070420298948898E-9</v>
      </c>
      <c r="G144" s="1">
        <v>3.3916713635146201E-9</v>
      </c>
      <c r="H144" s="1">
        <v>6.0747796273967301E-7</v>
      </c>
      <c r="I144" s="2">
        <f t="shared" ref="I144:I191" si="15">F144/(SQRT(E144)*SQRT(G144))</f>
        <v>-0.86939306039642816</v>
      </c>
      <c r="J144">
        <f ca="1">_xll.RiskNormal(C144,SQRT(E144),_xll.RiskCorrmat(betacorrelations,285))</f>
        <v>1.10270022828758E-2</v>
      </c>
      <c r="K144">
        <f ca="1">_xll.RiskNormal(D144,SQRT(G144),_xll.RiskCorrmat(betacorrelations,286))</f>
        <v>4.6120353261908201E-4</v>
      </c>
      <c r="L144">
        <f ca="1">_xll.RiskNormal(0,SQRT(H144))</f>
        <v>0</v>
      </c>
      <c r="M144" s="1">
        <f t="shared" si="11"/>
        <v>1.0775108973797878E-2</v>
      </c>
      <c r="N144" s="1">
        <f t="shared" si="12"/>
        <v>3.470569395464994E-4</v>
      </c>
      <c r="O144" s="1">
        <f t="shared" si="13"/>
        <v>1.1278895591953723E-2</v>
      </c>
      <c r="P144" s="1">
        <f t="shared" si="14"/>
        <v>5.7535012569166462E-4</v>
      </c>
    </row>
    <row r="145" spans="1:16" x14ac:dyDescent="0.45">
      <c r="A145" t="s">
        <v>109</v>
      </c>
      <c r="B145">
        <v>8.2801247536560396</v>
      </c>
      <c r="C145">
        <v>-6.9904520961977003E-3</v>
      </c>
      <c r="D145">
        <v>5.2372538568839599E-4</v>
      </c>
      <c r="E145" s="1">
        <v>2.3945346334095402E-9</v>
      </c>
      <c r="F145" s="1">
        <v>-5.5050980522899198E-10</v>
      </c>
      <c r="G145" s="1">
        <v>1.55784078424604E-10</v>
      </c>
      <c r="H145" s="1">
        <v>1.4884389705112699E-7</v>
      </c>
      <c r="I145" s="2">
        <f t="shared" si="15"/>
        <v>-0.90134896112287521</v>
      </c>
      <c r="J145">
        <f ca="1">_xll.RiskNormal(C145,SQRT(E145),_xll.RiskCorrmat(betacorrelations,287))</f>
        <v>-6.9904520961977003E-3</v>
      </c>
      <c r="K145">
        <f ca="1">_xll.RiskNormal(D145,SQRT(G145),_xll.RiskCorrmat(betacorrelations,288))</f>
        <v>5.2372538568839599E-4</v>
      </c>
      <c r="L145">
        <f ca="1">_xll.RiskNormal(0,SQRT(H145))</f>
        <v>0</v>
      </c>
      <c r="M145" s="1">
        <f t="shared" si="11"/>
        <v>-7.0863627016994179E-3</v>
      </c>
      <c r="N145" s="1">
        <f t="shared" si="12"/>
        <v>4.9926194121146345E-4</v>
      </c>
      <c r="O145" s="1">
        <f t="shared" si="13"/>
        <v>-6.8945414906959827E-3</v>
      </c>
      <c r="P145" s="1">
        <f t="shared" si="14"/>
        <v>5.4818883016532853E-4</v>
      </c>
    </row>
    <row r="146" spans="1:16" x14ac:dyDescent="0.45">
      <c r="A146" t="s">
        <v>29</v>
      </c>
      <c r="B146">
        <v>14.968392233551</v>
      </c>
      <c r="C146">
        <v>1.76127547693656E-3</v>
      </c>
      <c r="D146">
        <v>5.2818853103070798E-4</v>
      </c>
      <c r="E146" s="1">
        <v>5.5998927532414698E-10</v>
      </c>
      <c r="F146" s="1">
        <v>-2.1864339093457899E-10</v>
      </c>
      <c r="G146" s="1">
        <v>1.1753112664986E-10</v>
      </c>
      <c r="H146" s="1">
        <v>4.2548454527007003E-8</v>
      </c>
      <c r="I146" s="2">
        <f t="shared" si="15"/>
        <v>-0.85225596528335967</v>
      </c>
      <c r="J146">
        <f ca="1">_xll.RiskNormal(C146,SQRT(E146),_xll.RiskCorrmat(betacorrelations,289))</f>
        <v>1.76127547693656E-3</v>
      </c>
      <c r="K146">
        <f ca="1">_xll.RiskNormal(D146,SQRT(G146),_xll.RiskCorrmat(betacorrelations,290))</f>
        <v>5.2818853103070798E-4</v>
      </c>
      <c r="L146">
        <f ca="1">_xll.RiskNormal(0,SQRT(H146))</f>
        <v>0</v>
      </c>
      <c r="M146" s="1">
        <f t="shared" si="11"/>
        <v>1.7148938555754515E-3</v>
      </c>
      <c r="N146" s="1">
        <f t="shared" si="12"/>
        <v>5.0693982339616926E-4</v>
      </c>
      <c r="O146" s="1">
        <f t="shared" si="13"/>
        <v>1.8076570982976685E-3</v>
      </c>
      <c r="P146" s="1">
        <f t="shared" si="14"/>
        <v>5.494372386652467E-4</v>
      </c>
    </row>
    <row r="147" spans="1:16" x14ac:dyDescent="0.45">
      <c r="A147" t="s">
        <v>110</v>
      </c>
      <c r="B147">
        <v>23.252856007124102</v>
      </c>
      <c r="C147">
        <v>1.12075047963918E-2</v>
      </c>
      <c r="D147">
        <v>3.7063168680519801E-4</v>
      </c>
      <c r="E147" s="1">
        <v>1.3093272575076E-8</v>
      </c>
      <c r="F147" s="1">
        <v>-3.7073998078765798E-9</v>
      </c>
      <c r="G147" s="1">
        <v>1.32231478981442E-9</v>
      </c>
      <c r="H147" s="1">
        <v>9.6896879737853707E-7</v>
      </c>
      <c r="I147" s="2">
        <f t="shared" si="15"/>
        <v>-0.89100038320141084</v>
      </c>
      <c r="J147">
        <f ca="1">_xll.RiskNormal(C147,SQRT(E147),_xll.RiskCorrmat(betacorrelations,291))</f>
        <v>1.12075047963918E-2</v>
      </c>
      <c r="K147">
        <f ca="1">_xll.RiskNormal(D147,SQRT(G147),_xll.RiskCorrmat(betacorrelations,292))</f>
        <v>3.7063168680519801E-4</v>
      </c>
      <c r="L147">
        <f ca="1">_xll.RiskNormal(0,SQRT(H147))</f>
        <v>0</v>
      </c>
      <c r="M147" s="1">
        <f t="shared" si="11"/>
        <v>1.098323015242951E-2</v>
      </c>
      <c r="N147" s="1">
        <f t="shared" si="12"/>
        <v>2.9935893958333854E-4</v>
      </c>
      <c r="O147" s="1">
        <f t="shared" si="13"/>
        <v>1.143177944035409E-2</v>
      </c>
      <c r="P147" s="1">
        <f t="shared" si="14"/>
        <v>4.4190443402705747E-4</v>
      </c>
    </row>
    <row r="148" spans="1:16" x14ac:dyDescent="0.45">
      <c r="A148" t="s">
        <v>60</v>
      </c>
      <c r="B148">
        <v>19.865087253352101</v>
      </c>
      <c r="C148">
        <v>6.2314781034494898E-3</v>
      </c>
      <c r="D148">
        <v>4.3430109526125901E-4</v>
      </c>
      <c r="E148" s="1">
        <v>2.37583185519267E-9</v>
      </c>
      <c r="F148" s="1">
        <v>-7.4817837544101702E-10</v>
      </c>
      <c r="G148" s="1">
        <v>3.1519105255422801E-10</v>
      </c>
      <c r="H148" s="1">
        <v>1.7027968364311699E-7</v>
      </c>
      <c r="I148" s="2">
        <f t="shared" si="15"/>
        <v>-0.86459030412437943</v>
      </c>
      <c r="J148">
        <f ca="1">_xll.RiskNormal(C148,SQRT(E148),_xll.RiskCorrmat(betacorrelations,293))</f>
        <v>6.2314781034494898E-3</v>
      </c>
      <c r="K148">
        <f ca="1">_xll.RiskNormal(D148,SQRT(G148),_xll.RiskCorrmat(betacorrelations,294))</f>
        <v>4.3430109526125901E-4</v>
      </c>
      <c r="L148">
        <f ca="1">_xll.RiskNormal(0,SQRT(H148))</f>
        <v>0</v>
      </c>
      <c r="M148" s="1">
        <f t="shared" si="11"/>
        <v>6.1359427924126374E-3</v>
      </c>
      <c r="N148" s="1">
        <f t="shared" si="12"/>
        <v>3.9950399843562823E-4</v>
      </c>
      <c r="O148" s="1">
        <f t="shared" si="13"/>
        <v>6.3270134144863422E-3</v>
      </c>
      <c r="P148" s="1">
        <f t="shared" si="14"/>
        <v>4.6909819208688978E-4</v>
      </c>
    </row>
    <row r="149" spans="1:16" x14ac:dyDescent="0.45">
      <c r="A149" t="s">
        <v>128</v>
      </c>
      <c r="B149">
        <v>27.637377100671898</v>
      </c>
      <c r="C149">
        <v>1.39810028860033E-2</v>
      </c>
      <c r="D149">
        <v>4.3354094557348897E-4</v>
      </c>
      <c r="E149" s="1">
        <v>9.2693355360556907E-9</v>
      </c>
      <c r="F149" s="1">
        <v>-2.6671351234416001E-9</v>
      </c>
      <c r="G149" s="1">
        <v>1.0183065140950701E-9</v>
      </c>
      <c r="H149" s="1">
        <v>9.6745204844692991E-7</v>
      </c>
      <c r="I149" s="2">
        <f t="shared" si="15"/>
        <v>-0.86812338678224232</v>
      </c>
      <c r="J149">
        <f ca="1">_xll.RiskNormal(C149,SQRT(E149),_xll.RiskCorrmat(betacorrelations,295))</f>
        <v>1.39810028860033E-2</v>
      </c>
      <c r="K149">
        <f ca="1">_xll.RiskNormal(D149,SQRT(G149),_xll.RiskCorrmat(betacorrelations,296))</f>
        <v>4.3354094557348897E-4</v>
      </c>
      <c r="L149">
        <f ca="1">_xll.RiskNormal(0,SQRT(H149))</f>
        <v>0</v>
      </c>
      <c r="M149" s="1">
        <f t="shared" si="11"/>
        <v>1.3792299204546599E-2</v>
      </c>
      <c r="N149" s="1">
        <f t="shared" si="12"/>
        <v>3.7099555162199466E-4</v>
      </c>
      <c r="O149" s="1">
        <f t="shared" si="13"/>
        <v>1.416970656746E-2</v>
      </c>
      <c r="P149" s="1">
        <f t="shared" si="14"/>
        <v>4.9608633952498329E-4</v>
      </c>
    </row>
    <row r="150" spans="1:16" x14ac:dyDescent="0.45">
      <c r="A150" t="s">
        <v>86</v>
      </c>
      <c r="B150">
        <v>16.008428277044999</v>
      </c>
      <c r="C150">
        <v>2.2463453729561701E-3</v>
      </c>
      <c r="D150">
        <v>4.1900667250393999E-4</v>
      </c>
      <c r="E150" s="1">
        <v>2.06324688674107E-9</v>
      </c>
      <c r="F150" s="1">
        <v>-9.0371913731380205E-10</v>
      </c>
      <c r="G150" s="1">
        <v>5.27848013769405E-10</v>
      </c>
      <c r="H150" s="1">
        <v>5.0498867104683798E-8</v>
      </c>
      <c r="I150" s="2">
        <f t="shared" si="15"/>
        <v>-0.86597117061727058</v>
      </c>
      <c r="J150">
        <f ca="1">_xll.RiskNormal(C150,SQRT(E150),_xll.RiskCorrmat(betacorrelations,297))</f>
        <v>2.2463453729561701E-3</v>
      </c>
      <c r="K150">
        <f ca="1">_xll.RiskNormal(D150,SQRT(G150),_xll.RiskCorrmat(betacorrelations,298))</f>
        <v>4.1900667250393999E-4</v>
      </c>
      <c r="L150">
        <f ca="1">_xll.RiskNormal(0,SQRT(H150))</f>
        <v>0</v>
      </c>
      <c r="M150" s="1">
        <f t="shared" si="11"/>
        <v>2.1573163370178622E-3</v>
      </c>
      <c r="N150" s="1">
        <f t="shared" si="12"/>
        <v>3.7397578388627503E-4</v>
      </c>
      <c r="O150" s="1">
        <f t="shared" si="13"/>
        <v>2.335374408894478E-3</v>
      </c>
      <c r="P150" s="1">
        <f t="shared" si="14"/>
        <v>4.6403756112160495E-4</v>
      </c>
    </row>
    <row r="151" spans="1:16" x14ac:dyDescent="0.45">
      <c r="A151" t="s">
        <v>104</v>
      </c>
      <c r="B151">
        <v>9.5606822679853405</v>
      </c>
      <c r="C151">
        <v>-3.7833468768320899E-3</v>
      </c>
      <c r="D151">
        <v>4.8922056684488902E-4</v>
      </c>
      <c r="E151" s="1">
        <v>8.1231473580857397E-10</v>
      </c>
      <c r="F151" s="1">
        <v>-2.0087837513700399E-10</v>
      </c>
      <c r="G151" s="1">
        <v>6.22032368699992E-11</v>
      </c>
      <c r="H151" s="1">
        <v>4.7770911543196902E-8</v>
      </c>
      <c r="I151" s="2">
        <f t="shared" si="15"/>
        <v>-0.89364396879269814</v>
      </c>
      <c r="J151">
        <f ca="1">_xll.RiskNormal(C151,SQRT(E151),_xll.RiskCorrmat(betacorrelations,299))</f>
        <v>-3.7833468768320899E-3</v>
      </c>
      <c r="K151">
        <f ca="1">_xll.RiskNormal(D151,SQRT(G151),_xll.RiskCorrmat(betacorrelations,300))</f>
        <v>4.8922056684488902E-4</v>
      </c>
      <c r="L151">
        <f ca="1">_xll.RiskNormal(0,SQRT(H151))</f>
        <v>0</v>
      </c>
      <c r="M151" s="1">
        <f t="shared" si="11"/>
        <v>-3.8392091027909811E-3</v>
      </c>
      <c r="N151" s="1">
        <f t="shared" si="12"/>
        <v>4.7376223722103288E-4</v>
      </c>
      <c r="O151" s="1">
        <f t="shared" si="13"/>
        <v>-3.7274846508731987E-3</v>
      </c>
      <c r="P151" s="1">
        <f t="shared" si="14"/>
        <v>5.0467889646874521E-4</v>
      </c>
    </row>
    <row r="152" spans="1:16" x14ac:dyDescent="0.45">
      <c r="A152" t="s">
        <v>30</v>
      </c>
      <c r="B152">
        <v>4.0026894501647901</v>
      </c>
      <c r="C152">
        <v>-2.1374025148600699E-2</v>
      </c>
      <c r="D152">
        <v>5.16819979200757E-4</v>
      </c>
      <c r="E152" s="1">
        <v>6.2414709928965594E-8</v>
      </c>
      <c r="F152" s="1">
        <v>-1.24595860585884E-8</v>
      </c>
      <c r="G152" s="1">
        <v>3.0719651397999302E-9</v>
      </c>
      <c r="H152" s="1">
        <v>4.8656824795991601E-6</v>
      </c>
      <c r="I152" s="2">
        <f t="shared" si="15"/>
        <v>-0.89981244269410032</v>
      </c>
      <c r="J152">
        <f ca="1">_xll.RiskNormal(C152,SQRT(E152),_xll.RiskCorrmat(betacorrelations,301))</f>
        <v>-2.1374025148600699E-2</v>
      </c>
      <c r="K152">
        <f ca="1">_xll.RiskNormal(D152,SQRT(G152),_xll.RiskCorrmat(betacorrelations,302))</f>
        <v>5.16819979200757E-4</v>
      </c>
      <c r="L152">
        <f ca="1">_xll.RiskNormal(0,SQRT(H152))</f>
        <v>0</v>
      </c>
      <c r="M152" s="1">
        <f t="shared" si="11"/>
        <v>-2.1863690697381817E-2</v>
      </c>
      <c r="N152" s="1">
        <f t="shared" si="12"/>
        <v>4.0818636892725365E-4</v>
      </c>
      <c r="O152" s="1">
        <f t="shared" si="13"/>
        <v>-2.0884359599819581E-2</v>
      </c>
      <c r="P152" s="1">
        <f t="shared" si="14"/>
        <v>6.2545358947426041E-4</v>
      </c>
    </row>
    <row r="153" spans="1:16" x14ac:dyDescent="0.45">
      <c r="A153" t="s">
        <v>19</v>
      </c>
      <c r="B153">
        <v>19.252602719976998</v>
      </c>
      <c r="C153">
        <v>6.47747706408039E-3</v>
      </c>
      <c r="D153">
        <v>3.53992754860208E-4</v>
      </c>
      <c r="E153" s="1">
        <v>1.58414668318411E-9</v>
      </c>
      <c r="F153" s="1">
        <v>-5.3138724057471203E-10</v>
      </c>
      <c r="G153" s="1">
        <v>2.3665884048021199E-10</v>
      </c>
      <c r="H153" s="1">
        <v>8.8512621064336594E-8</v>
      </c>
      <c r="I153" s="2">
        <f t="shared" si="15"/>
        <v>-0.86786477147373631</v>
      </c>
      <c r="J153">
        <f ca="1">_xll.RiskNormal(C153,SQRT(E153),_xll.RiskCorrmat(betacorrelations,303))</f>
        <v>6.47747706408039E-3</v>
      </c>
      <c r="K153">
        <f ca="1">_xll.RiskNormal(D153,SQRT(G153),_xll.RiskCorrmat(betacorrelations,304))</f>
        <v>3.53992754860208E-4</v>
      </c>
      <c r="L153">
        <f ca="1">_xll.RiskNormal(0,SQRT(H153))</f>
        <v>0</v>
      </c>
      <c r="M153" s="1">
        <f t="shared" si="11"/>
        <v>6.3994664372522452E-3</v>
      </c>
      <c r="N153" s="1">
        <f t="shared" si="12"/>
        <v>3.2384066369576663E-4</v>
      </c>
      <c r="O153" s="1">
        <f t="shared" si="13"/>
        <v>6.5554876909085348E-3</v>
      </c>
      <c r="P153" s="1">
        <f t="shared" si="14"/>
        <v>3.8414484602464937E-4</v>
      </c>
    </row>
    <row r="154" spans="1:16" x14ac:dyDescent="0.45">
      <c r="A154" t="s">
        <v>158</v>
      </c>
      <c r="B154">
        <v>25.518370388364101</v>
      </c>
      <c r="C154">
        <v>1.2082337677348599E-2</v>
      </c>
      <c r="D154">
        <v>3.8272323025368202E-4</v>
      </c>
      <c r="E154" s="1">
        <v>4.6219340554530803E-9</v>
      </c>
      <c r="F154" s="1">
        <v>-1.28932432576956E-9</v>
      </c>
      <c r="G154" s="1">
        <v>4.7715158200174395E-10</v>
      </c>
      <c r="H154" s="1">
        <v>4.9787409638584805E-7</v>
      </c>
      <c r="I154" s="2">
        <f t="shared" si="15"/>
        <v>-0.86820467526108824</v>
      </c>
      <c r="J154">
        <f ca="1">_xll.RiskNormal(C154,SQRT(E154),_xll.RiskCorrmat(betacorrelations,305))</f>
        <v>1.2082337677348599E-2</v>
      </c>
      <c r="K154">
        <f ca="1">_xll.RiskNormal(D154,SQRT(G154),_xll.RiskCorrmat(betacorrelations,306))</f>
        <v>3.8272323025368202E-4</v>
      </c>
      <c r="L154">
        <f ca="1">_xll.RiskNormal(0,SQRT(H154))</f>
        <v>0</v>
      </c>
      <c r="M154" s="1">
        <f t="shared" si="11"/>
        <v>1.1949087454581699E-2</v>
      </c>
      <c r="N154" s="1">
        <f t="shared" si="12"/>
        <v>3.3990938299116775E-4</v>
      </c>
      <c r="O154" s="1">
        <f t="shared" si="13"/>
        <v>1.2215587900115499E-2</v>
      </c>
      <c r="P154" s="1">
        <f t="shared" si="14"/>
        <v>4.2553707751619629E-4</v>
      </c>
    </row>
    <row r="155" spans="1:16" x14ac:dyDescent="0.45">
      <c r="A155" t="s">
        <v>81</v>
      </c>
      <c r="B155">
        <v>29.045352698205502</v>
      </c>
      <c r="C155">
        <v>1.51879344193397E-2</v>
      </c>
      <c r="D155">
        <v>3.09005879879345E-4</v>
      </c>
      <c r="E155" s="1">
        <v>2.1095598035741399E-8</v>
      </c>
      <c r="F155" s="1">
        <v>-6.1370334539886497E-9</v>
      </c>
      <c r="G155" s="1">
        <v>2.3151749502477E-9</v>
      </c>
      <c r="H155" s="1">
        <v>1.3639754912162301E-6</v>
      </c>
      <c r="I155" s="2">
        <f t="shared" si="15"/>
        <v>-0.87815395670786667</v>
      </c>
      <c r="J155">
        <f ca="1">_xll.RiskNormal(C155,SQRT(E155),_xll.RiskCorrmat(betacorrelations,307))</f>
        <v>1.51879344193397E-2</v>
      </c>
      <c r="K155">
        <f ca="1">_xll.RiskNormal(D155,SQRT(G155),_xll.RiskCorrmat(betacorrelations,308))</f>
        <v>3.09005879879345E-4</v>
      </c>
      <c r="L155">
        <f ca="1">_xll.RiskNormal(0,SQRT(H155))</f>
        <v>0</v>
      </c>
      <c r="M155" s="1">
        <f t="shared" si="11"/>
        <v>1.4903257673864936E-2</v>
      </c>
      <c r="N155" s="1">
        <f t="shared" si="12"/>
        <v>2.1469800062807798E-4</v>
      </c>
      <c r="O155" s="1">
        <f t="shared" si="13"/>
        <v>1.5472611164814465E-2</v>
      </c>
      <c r="P155" s="1">
        <f t="shared" si="14"/>
        <v>4.0331375913061203E-4</v>
      </c>
    </row>
    <row r="156" spans="1:16" x14ac:dyDescent="0.45">
      <c r="A156" t="s">
        <v>176</v>
      </c>
      <c r="B156">
        <v>26.8990038932162</v>
      </c>
      <c r="C156">
        <v>1.5943245322540101E-2</v>
      </c>
      <c r="D156">
        <v>3.4134076684188002E-4</v>
      </c>
      <c r="E156" s="1">
        <v>2.0680335572324199E-8</v>
      </c>
      <c r="F156" s="1">
        <v>-7.1359946094247E-9</v>
      </c>
      <c r="G156" s="1">
        <v>3.1772647142281299E-9</v>
      </c>
      <c r="H156" s="1">
        <v>1.00734735812375E-6</v>
      </c>
      <c r="I156" s="2">
        <f t="shared" si="15"/>
        <v>-0.88033713644735223</v>
      </c>
      <c r="J156">
        <f ca="1">_xll.RiskNormal(C156,SQRT(E156),_xll.RiskCorrmat(betacorrelations,309))</f>
        <v>1.5943245322540101E-2</v>
      </c>
      <c r="K156">
        <f ca="1">_xll.RiskNormal(D156,SQRT(G156),_xll.RiskCorrmat(betacorrelations,310))</f>
        <v>3.4134076684188002E-4</v>
      </c>
      <c r="L156">
        <f ca="1">_xll.RiskNormal(0,SQRT(H156))</f>
        <v>0</v>
      </c>
      <c r="M156" s="1">
        <f t="shared" si="11"/>
        <v>1.5661384404471203E-2</v>
      </c>
      <c r="N156" s="1">
        <f t="shared" si="12"/>
        <v>2.3086099436664913E-4</v>
      </c>
      <c r="O156" s="1">
        <f t="shared" si="13"/>
        <v>1.6225106240608998E-2</v>
      </c>
      <c r="P156" s="1">
        <f t="shared" si="14"/>
        <v>4.518205393171109E-4</v>
      </c>
    </row>
    <row r="157" spans="1:16" x14ac:dyDescent="0.45">
      <c r="A157" t="s">
        <v>58</v>
      </c>
      <c r="B157">
        <v>24.808459618616801</v>
      </c>
      <c r="C157">
        <v>1.1097176541065699E-2</v>
      </c>
      <c r="D157">
        <v>3.9256966578717003E-4</v>
      </c>
      <c r="E157" s="1">
        <v>8.6246855009074107E-9</v>
      </c>
      <c r="F157" s="1">
        <v>-3.6527605729213599E-9</v>
      </c>
      <c r="G157" s="1">
        <v>2.0823888014645798E-9</v>
      </c>
      <c r="H157" s="1">
        <v>2.3496355333643699E-7</v>
      </c>
      <c r="I157" s="2">
        <f t="shared" si="15"/>
        <v>-0.86192338333754426</v>
      </c>
      <c r="J157">
        <f ca="1">_xll.RiskNormal(C157,SQRT(E157),_xll.RiskCorrmat(betacorrelations,311))</f>
        <v>1.1097176541065699E-2</v>
      </c>
      <c r="K157">
        <f ca="1">_xll.RiskNormal(D157,SQRT(G157),_xll.RiskCorrmat(betacorrelations,312))</f>
        <v>3.9256966578717003E-4</v>
      </c>
      <c r="L157">
        <f ca="1">_xll.RiskNormal(0,SQRT(H157))</f>
        <v>0</v>
      </c>
      <c r="M157" s="1">
        <f t="shared" si="11"/>
        <v>1.0915152938694233E-2</v>
      </c>
      <c r="N157" s="1">
        <f t="shared" si="12"/>
        <v>3.0312859681040562E-4</v>
      </c>
      <c r="O157" s="1">
        <f t="shared" si="13"/>
        <v>1.1279200143437166E-2</v>
      </c>
      <c r="P157" s="1">
        <f t="shared" si="14"/>
        <v>4.8201073476393443E-4</v>
      </c>
    </row>
    <row r="158" spans="1:16" x14ac:dyDescent="0.45">
      <c r="A158" t="s">
        <v>57</v>
      </c>
      <c r="B158">
        <v>25.7497402184976</v>
      </c>
      <c r="C158">
        <v>1.28491464852101E-2</v>
      </c>
      <c r="D158">
        <v>3.1044185870145901E-4</v>
      </c>
      <c r="E158" s="1">
        <v>5.7071239726787803E-9</v>
      </c>
      <c r="F158" s="1">
        <v>-2.0099234631243399E-9</v>
      </c>
      <c r="G158" s="1">
        <v>9.383218758581241E-10</v>
      </c>
      <c r="H158" s="1">
        <v>2.3839812762780301E-7</v>
      </c>
      <c r="I158" s="2">
        <f t="shared" si="15"/>
        <v>-0.86855024268820846</v>
      </c>
      <c r="J158">
        <f ca="1">_xll.RiskNormal(C158,SQRT(E158),_xll.RiskCorrmat(betacorrelations,313))</f>
        <v>1.28491464852101E-2</v>
      </c>
      <c r="K158">
        <f ca="1">_xll.RiskNormal(D158,SQRT(G158),_xll.RiskCorrmat(betacorrelations,314))</f>
        <v>3.1044185870145901E-4</v>
      </c>
      <c r="L158">
        <f ca="1">_xll.RiskNormal(0,SQRT(H158))</f>
        <v>0</v>
      </c>
      <c r="M158" s="1">
        <f t="shared" si="11"/>
        <v>1.2701077287017354E-2</v>
      </c>
      <c r="N158" s="1">
        <f t="shared" si="12"/>
        <v>2.5040306025997979E-4</v>
      </c>
      <c r="O158" s="1">
        <f t="shared" si="13"/>
        <v>1.2997215683402846E-2</v>
      </c>
      <c r="P158" s="1">
        <f t="shared" si="14"/>
        <v>3.7048065714293823E-4</v>
      </c>
    </row>
    <row r="159" spans="1:16" x14ac:dyDescent="0.45">
      <c r="A159" t="s">
        <v>56</v>
      </c>
      <c r="B159">
        <v>24.5988392969508</v>
      </c>
      <c r="C159">
        <v>1.1541540345787899E-2</v>
      </c>
      <c r="D159">
        <v>3.9935751260425899E-4</v>
      </c>
      <c r="E159" s="1">
        <v>1.0588111669446001E-8</v>
      </c>
      <c r="F159" s="1">
        <v>-3.5610537479183402E-9</v>
      </c>
      <c r="G159" s="1">
        <v>1.5676203360238599E-9</v>
      </c>
      <c r="H159" s="1">
        <v>5.8025780907949301E-7</v>
      </c>
      <c r="I159" s="2">
        <f t="shared" si="15"/>
        <v>-0.87407525941342534</v>
      </c>
      <c r="J159">
        <f ca="1">_xll.RiskNormal(C159,SQRT(E159),_xll.RiskCorrmat(betacorrelations,315))</f>
        <v>1.1541540345787899E-2</v>
      </c>
      <c r="K159">
        <f ca="1">_xll.RiskNormal(D159,SQRT(G159),_xll.RiskCorrmat(betacorrelations,316))</f>
        <v>3.9935751260425899E-4</v>
      </c>
      <c r="L159">
        <f ca="1">_xll.RiskNormal(0,SQRT(H159))</f>
        <v>0</v>
      </c>
      <c r="M159" s="1">
        <f t="shared" si="11"/>
        <v>1.1339859187051285E-2</v>
      </c>
      <c r="N159" s="1">
        <f t="shared" si="12"/>
        <v>3.2175486907409784E-4</v>
      </c>
      <c r="O159" s="1">
        <f t="shared" si="13"/>
        <v>1.1743221504524514E-2</v>
      </c>
      <c r="P159" s="1">
        <f t="shared" si="14"/>
        <v>4.7696015613442013E-4</v>
      </c>
    </row>
    <row r="160" spans="1:16" x14ac:dyDescent="0.45">
      <c r="A160" t="s">
        <v>144</v>
      </c>
      <c r="B160">
        <v>10.8184982177434</v>
      </c>
      <c r="C160">
        <v>-2.1815031983706801E-3</v>
      </c>
      <c r="D160">
        <v>4.73921535685639E-4</v>
      </c>
      <c r="E160" s="1">
        <v>3.0856047966785998E-10</v>
      </c>
      <c r="F160" s="1">
        <v>-8.8661579020817494E-11</v>
      </c>
      <c r="G160" s="1">
        <v>3.3233978429799001E-11</v>
      </c>
      <c r="H160" s="1">
        <v>2.6244816942324199E-8</v>
      </c>
      <c r="I160" s="2">
        <f t="shared" si="15"/>
        <v>-0.87553627483694407</v>
      </c>
      <c r="J160">
        <f ca="1">_xll.RiskNormal(C160,SQRT(E160),_xll.RiskCorrmat(betacorrelations,317))</f>
        <v>-2.1815031983706801E-3</v>
      </c>
      <c r="K160">
        <f ca="1">_xll.RiskNormal(D160,SQRT(G160),_xll.RiskCorrmat(betacorrelations,318))</f>
        <v>4.73921535685639E-4</v>
      </c>
      <c r="L160">
        <f ca="1">_xll.RiskNormal(0,SQRT(H160))</f>
        <v>0</v>
      </c>
      <c r="M160" s="1">
        <f t="shared" si="11"/>
        <v>-2.2159323421110065E-3</v>
      </c>
      <c r="N160" s="1">
        <f t="shared" si="12"/>
        <v>4.626223475937487E-4</v>
      </c>
      <c r="O160" s="1">
        <f t="shared" si="13"/>
        <v>-2.1470740546303537E-3</v>
      </c>
      <c r="P160" s="1">
        <f t="shared" si="14"/>
        <v>4.852207237775293E-4</v>
      </c>
    </row>
    <row r="161" spans="1:16" x14ac:dyDescent="0.45">
      <c r="A161" t="s">
        <v>153</v>
      </c>
      <c r="B161">
        <v>27.109837072875699</v>
      </c>
      <c r="C161">
        <v>1.42152140243042E-2</v>
      </c>
      <c r="D161">
        <v>2.9575837026657399E-4</v>
      </c>
      <c r="E161" s="1">
        <v>1.27306237705864E-8</v>
      </c>
      <c r="F161" s="1">
        <v>-4.8150233325916097E-9</v>
      </c>
      <c r="G161" s="1">
        <v>2.3867657827368299E-9</v>
      </c>
      <c r="H161" s="1">
        <v>5.3775704751294897E-7</v>
      </c>
      <c r="I161" s="2">
        <f t="shared" si="15"/>
        <v>-0.873511551669644</v>
      </c>
      <c r="J161">
        <f ca="1">_xll.RiskNormal(C161,SQRT(E161),_xll.RiskCorrmat(betacorrelations,319))</f>
        <v>1.42152140243042E-2</v>
      </c>
      <c r="K161">
        <f ca="1">_xll.RiskNormal(D161,SQRT(G161),_xll.RiskCorrmat(betacorrelations,320))</f>
        <v>2.9575837026657399E-4</v>
      </c>
      <c r="L161">
        <f ca="1">_xll.RiskNormal(0,SQRT(H161))</f>
        <v>0</v>
      </c>
      <c r="M161" s="1">
        <f t="shared" si="11"/>
        <v>1.3994067095143777E-2</v>
      </c>
      <c r="N161" s="1">
        <f t="shared" si="12"/>
        <v>2.0000347780168838E-4</v>
      </c>
      <c r="O161" s="1">
        <f t="shared" si="13"/>
        <v>1.4436360953464622E-2</v>
      </c>
      <c r="P161" s="1">
        <f t="shared" si="14"/>
        <v>3.915132627314596E-4</v>
      </c>
    </row>
    <row r="162" spans="1:16" x14ac:dyDescent="0.45">
      <c r="A162" t="s">
        <v>17</v>
      </c>
      <c r="B162">
        <v>11.0793246213322</v>
      </c>
      <c r="C162">
        <v>-2.3976932211523202E-3</v>
      </c>
      <c r="D162">
        <v>4.89780030461852E-4</v>
      </c>
      <c r="E162" s="1">
        <v>3.6715922574936102E-10</v>
      </c>
      <c r="F162" s="1">
        <v>-9.8579205643625496E-11</v>
      </c>
      <c r="G162" s="1">
        <v>3.4125333976784301E-11</v>
      </c>
      <c r="H162" s="1">
        <v>3.1100848926131603E-8</v>
      </c>
      <c r="I162" s="2">
        <f t="shared" si="15"/>
        <v>-0.88068304710240397</v>
      </c>
      <c r="J162">
        <f ca="1">_xll.RiskNormal(C162,SQRT(E162),_xll.RiskCorrmat(betacorrelations,321))</f>
        <v>-2.3976932211523202E-3</v>
      </c>
      <c r="K162">
        <f ca="1">_xll.RiskNormal(D162,SQRT(G162),_xll.RiskCorrmat(betacorrelations,322))</f>
        <v>4.89780030461852E-4</v>
      </c>
      <c r="L162">
        <f ca="1">_xll.RiskNormal(0,SQRT(H162))</f>
        <v>0</v>
      </c>
      <c r="M162" s="1">
        <f t="shared" si="11"/>
        <v>-2.4352495639140795E-3</v>
      </c>
      <c r="N162" s="1">
        <f t="shared" si="12"/>
        <v>4.7833031941723546E-4</v>
      </c>
      <c r="O162" s="1">
        <f t="shared" si="13"/>
        <v>-2.3601368783905609E-3</v>
      </c>
      <c r="P162" s="1">
        <f t="shared" si="14"/>
        <v>5.0122974150646859E-4</v>
      </c>
    </row>
    <row r="163" spans="1:16" x14ac:dyDescent="0.45">
      <c r="A163" t="s">
        <v>113</v>
      </c>
      <c r="B163">
        <v>28.024177943790399</v>
      </c>
      <c r="C163">
        <v>1.4413806930838401E-2</v>
      </c>
      <c r="D163">
        <v>2.6541455361435797E-4</v>
      </c>
      <c r="E163" s="1">
        <v>1.08148701974592E-8</v>
      </c>
      <c r="F163" s="1">
        <v>-3.2269527418398401E-9</v>
      </c>
      <c r="G163" s="1">
        <v>1.2359458282009699E-9</v>
      </c>
      <c r="H163" s="1">
        <v>5.2759123597725802E-7</v>
      </c>
      <c r="I163" s="2">
        <f t="shared" si="15"/>
        <v>-0.88263720854757577</v>
      </c>
      <c r="J163">
        <f ca="1">_xll.RiskNormal(C163,SQRT(E163),_xll.RiskCorrmat(betacorrelations,323))</f>
        <v>1.4413806930838401E-2</v>
      </c>
      <c r="K163">
        <f ca="1">_xll.RiskNormal(D163,SQRT(G163),_xll.RiskCorrmat(betacorrelations,324))</f>
        <v>2.6541455361435797E-4</v>
      </c>
      <c r="L163">
        <f ca="1">_xll.RiskNormal(0,SQRT(H163))</f>
        <v>0</v>
      </c>
      <c r="M163" s="1">
        <f t="shared" si="11"/>
        <v>1.4209977577332682E-2</v>
      </c>
      <c r="N163" s="1">
        <f t="shared" si="12"/>
        <v>1.9650875201814369E-4</v>
      </c>
      <c r="O163" s="1">
        <f t="shared" si="13"/>
        <v>1.4617636284344119E-2</v>
      </c>
      <c r="P163" s="1">
        <f t="shared" si="14"/>
        <v>3.3432035521057226E-4</v>
      </c>
    </row>
    <row r="164" spans="1:16" x14ac:dyDescent="0.45">
      <c r="A164" t="s">
        <v>21</v>
      </c>
      <c r="B164">
        <v>21.210150028783598</v>
      </c>
      <c r="C164">
        <v>7.5545638636453404E-3</v>
      </c>
      <c r="D164">
        <v>4.3538798202923801E-4</v>
      </c>
      <c r="E164" s="1">
        <v>5.0804261197819003E-9</v>
      </c>
      <c r="F164" s="1">
        <v>-1.9601994203447298E-9</v>
      </c>
      <c r="G164" s="1">
        <v>1.04124297954666E-9</v>
      </c>
      <c r="H164" s="1">
        <v>2.29681241293501E-7</v>
      </c>
      <c r="I164" s="2">
        <f t="shared" si="15"/>
        <v>-0.85226399838344513</v>
      </c>
      <c r="J164">
        <f ca="1">_xll.RiskNormal(C164,SQRT(E164),_xll.RiskCorrmat(betacorrelations,325))</f>
        <v>7.5545638636453404E-3</v>
      </c>
      <c r="K164">
        <f ca="1">_xll.RiskNormal(D164,SQRT(G164),_xll.RiskCorrmat(betacorrelations,326))</f>
        <v>4.3538798202923801E-4</v>
      </c>
      <c r="L164">
        <f ca="1">_xll.RiskNormal(0,SQRT(H164))</f>
        <v>0</v>
      </c>
      <c r="M164" s="1">
        <f t="shared" si="11"/>
        <v>7.414860732034935E-3</v>
      </c>
      <c r="N164" s="1">
        <f t="shared" si="12"/>
        <v>3.7214212026559019E-4</v>
      </c>
      <c r="O164" s="1">
        <f t="shared" si="13"/>
        <v>7.6942669952557458E-3</v>
      </c>
      <c r="P164" s="1">
        <f t="shared" si="14"/>
        <v>4.9863384379288578E-4</v>
      </c>
    </row>
    <row r="165" spans="1:16" x14ac:dyDescent="0.45">
      <c r="A165" t="s">
        <v>117</v>
      </c>
      <c r="B165">
        <v>27.276276844242702</v>
      </c>
      <c r="C165">
        <v>1.46224988374089E-2</v>
      </c>
      <c r="D165">
        <v>6.1743417854158401E-4</v>
      </c>
      <c r="E165" s="1">
        <v>5.8335966531443899E-8</v>
      </c>
      <c r="F165" s="1">
        <v>-2.1523825276613E-8</v>
      </c>
      <c r="G165" s="1">
        <v>1.0868585237861701E-8</v>
      </c>
      <c r="H165" s="1">
        <v>1.87217797213332E-6</v>
      </c>
      <c r="I165" s="2">
        <f t="shared" si="15"/>
        <v>-0.85480046779794172</v>
      </c>
      <c r="J165">
        <f ca="1">_xll.RiskNormal(C165,SQRT(E165),_xll.RiskCorrmat(betacorrelations,327))</f>
        <v>1.46224988374089E-2</v>
      </c>
      <c r="K165">
        <f ca="1">_xll.RiskNormal(D165,SQRT(G165),_xll.RiskCorrmat(betacorrelations,328))</f>
        <v>6.1743417854158401E-4</v>
      </c>
      <c r="L165">
        <f ca="1">_xll.RiskNormal(0,SQRT(H165))</f>
        <v>0</v>
      </c>
      <c r="M165" s="1">
        <f t="shared" si="11"/>
        <v>1.4149103179394175E-2</v>
      </c>
      <c r="N165" s="1">
        <f t="shared" si="12"/>
        <v>4.1309926461405788E-4</v>
      </c>
      <c r="O165" s="1">
        <f t="shared" si="13"/>
        <v>1.5095894495423626E-2</v>
      </c>
      <c r="P165" s="1">
        <f t="shared" si="14"/>
        <v>8.2176909246911014E-4</v>
      </c>
    </row>
    <row r="166" spans="1:16" x14ac:dyDescent="0.45">
      <c r="A166" t="s">
        <v>138</v>
      </c>
      <c r="B166">
        <v>7.85763945970813</v>
      </c>
      <c r="C166">
        <v>-5.4018161043942999E-3</v>
      </c>
      <c r="D166">
        <v>5.0750975930586304E-4</v>
      </c>
      <c r="E166" s="1">
        <v>1.4415049963966501E-9</v>
      </c>
      <c r="F166" s="1">
        <v>-3.5375431916387798E-10</v>
      </c>
      <c r="G166" s="1">
        <v>1.06065104423171E-10</v>
      </c>
      <c r="H166" s="1">
        <v>8.4259303449452398E-8</v>
      </c>
      <c r="I166" s="2">
        <f t="shared" si="15"/>
        <v>-0.90470588036175137</v>
      </c>
      <c r="J166">
        <f ca="1">_xll.RiskNormal(C166,SQRT(E166),_xll.RiskCorrmat(betacorrelations,329))</f>
        <v>-5.4018161043942999E-3</v>
      </c>
      <c r="K166">
        <f ca="1">_xll.RiskNormal(D166,SQRT(G166),_xll.RiskCorrmat(betacorrelations,330))</f>
        <v>5.0750975930586304E-4</v>
      </c>
      <c r="L166">
        <f ca="1">_xll.RiskNormal(0,SQRT(H166))</f>
        <v>0</v>
      </c>
      <c r="M166" s="1">
        <f t="shared" si="11"/>
        <v>-5.4762317317460689E-3</v>
      </c>
      <c r="N166" s="1">
        <f t="shared" si="12"/>
        <v>4.8732412815021041E-4</v>
      </c>
      <c r="O166" s="1">
        <f t="shared" si="13"/>
        <v>-5.3274004770425308E-3</v>
      </c>
      <c r="P166" s="1">
        <f t="shared" si="14"/>
        <v>5.2769539046151567E-4</v>
      </c>
    </row>
    <row r="167" spans="1:16" x14ac:dyDescent="0.45">
      <c r="A167" t="s">
        <v>137</v>
      </c>
      <c r="B167">
        <v>9.1303426985917806</v>
      </c>
      <c r="C167">
        <v>-4.1142045088672103E-3</v>
      </c>
      <c r="D167">
        <v>4.9290131538985596E-4</v>
      </c>
      <c r="E167" s="1">
        <v>7.6971550858211695E-10</v>
      </c>
      <c r="F167" s="1">
        <v>-1.96223551351988E-10</v>
      </c>
      <c r="G167" s="1">
        <v>6.2998705336185805E-11</v>
      </c>
      <c r="H167" s="1">
        <v>5.0093848035880603E-8</v>
      </c>
      <c r="I167" s="2">
        <f t="shared" si="15"/>
        <v>-0.89108719069045006</v>
      </c>
      <c r="J167">
        <f ca="1">_xll.RiskNormal(C167,SQRT(E167),_xll.RiskCorrmat(betacorrelations,331))</f>
        <v>-4.1142045088672103E-3</v>
      </c>
      <c r="K167">
        <f ca="1">_xll.RiskNormal(D167,SQRT(G167),_xll.RiskCorrmat(betacorrelations,332))</f>
        <v>4.9290131538985596E-4</v>
      </c>
      <c r="L167">
        <f ca="1">_xll.RiskNormal(0,SQRT(H167))</f>
        <v>0</v>
      </c>
      <c r="M167" s="1">
        <f t="shared" si="11"/>
        <v>-4.1685822533751339E-3</v>
      </c>
      <c r="N167" s="1">
        <f t="shared" si="12"/>
        <v>4.7734445753168001E-4</v>
      </c>
      <c r="O167" s="1">
        <f t="shared" si="13"/>
        <v>-4.0598267643592867E-3</v>
      </c>
      <c r="P167" s="1">
        <f t="shared" si="14"/>
        <v>5.0845817324803196E-4</v>
      </c>
    </row>
    <row r="168" spans="1:16" x14ac:dyDescent="0.45">
      <c r="A168" t="s">
        <v>126</v>
      </c>
      <c r="B168">
        <v>5.3927215068109096</v>
      </c>
      <c r="C168">
        <v>-1.18730252454433E-2</v>
      </c>
      <c r="D168">
        <v>5.2639589206435297E-4</v>
      </c>
      <c r="E168" s="1">
        <v>1.7950604670302698E-8</v>
      </c>
      <c r="F168" s="1">
        <v>-4.1179273335274302E-9</v>
      </c>
      <c r="G168" s="1">
        <v>1.12276220611729E-9</v>
      </c>
      <c r="H168" s="1">
        <v>1.0258133786144699E-6</v>
      </c>
      <c r="I168" s="2">
        <f t="shared" si="15"/>
        <v>-0.91726589194697694</v>
      </c>
      <c r="J168">
        <f ca="1">_xll.RiskNormal(C168,SQRT(E168),_xll.RiskCorrmat(betacorrelations,333))</f>
        <v>-1.18730252454433E-2</v>
      </c>
      <c r="K168">
        <f ca="1">_xll.RiskNormal(D168,SQRT(G168),_xll.RiskCorrmat(betacorrelations,334))</f>
        <v>5.2639589206435297E-4</v>
      </c>
      <c r="L168">
        <f ca="1">_xll.RiskNormal(0,SQRT(H168))</f>
        <v>0</v>
      </c>
      <c r="M168" s="1">
        <f t="shared" si="11"/>
        <v>-1.2135625784097421E-2</v>
      </c>
      <c r="N168" s="1">
        <f t="shared" si="12"/>
        <v>4.6072090983352034E-4</v>
      </c>
      <c r="O168" s="1">
        <f t="shared" si="13"/>
        <v>-1.1610424706789179E-2</v>
      </c>
      <c r="P168" s="1">
        <f t="shared" si="14"/>
        <v>5.9207087429518561E-4</v>
      </c>
    </row>
    <row r="169" spans="1:16" x14ac:dyDescent="0.45">
      <c r="A169" t="s">
        <v>25</v>
      </c>
      <c r="B169">
        <v>17.849180556814101</v>
      </c>
      <c r="C169">
        <v>5.3942676839274202E-3</v>
      </c>
      <c r="D169">
        <v>4.46893158495529E-4</v>
      </c>
      <c r="E169" s="1">
        <v>1.7623185916478601E-9</v>
      </c>
      <c r="F169" s="1">
        <v>-5.0300646903145297E-10</v>
      </c>
      <c r="G169" s="1">
        <v>1.9210761105495299E-10</v>
      </c>
      <c r="H169" s="1">
        <v>1.7898557701138901E-7</v>
      </c>
      <c r="I169" s="2">
        <f t="shared" si="15"/>
        <v>-0.8644882072703447</v>
      </c>
      <c r="J169">
        <f ca="1">_xll.RiskNormal(C169,SQRT(E169),_xll.RiskCorrmat(betacorrelations,335))</f>
        <v>5.3942676839274202E-3</v>
      </c>
      <c r="K169">
        <f ca="1">_xll.RiskNormal(D169,SQRT(G169),_xll.RiskCorrmat(betacorrelations,336))</f>
        <v>4.46893158495529E-4</v>
      </c>
      <c r="L169">
        <f ca="1">_xll.RiskNormal(0,SQRT(H169))</f>
        <v>0</v>
      </c>
      <c r="M169" s="1">
        <f t="shared" si="11"/>
        <v>5.3119869261424165E-3</v>
      </c>
      <c r="N169" s="1">
        <f t="shared" si="12"/>
        <v>4.1972699206320539E-4</v>
      </c>
      <c r="O169" s="1">
        <f t="shared" si="13"/>
        <v>5.4765484417124239E-3</v>
      </c>
      <c r="P169" s="1">
        <f t="shared" si="14"/>
        <v>4.7405932492785262E-4</v>
      </c>
    </row>
    <row r="170" spans="1:16" x14ac:dyDescent="0.45">
      <c r="A170" t="s">
        <v>135</v>
      </c>
      <c r="B170">
        <v>28.408212098948798</v>
      </c>
      <c r="C170">
        <v>1.56494513423188E-2</v>
      </c>
      <c r="D170">
        <v>2.34607377939804E-4</v>
      </c>
      <c r="E170" s="1">
        <v>3.5694805272392201E-8</v>
      </c>
      <c r="F170" s="1">
        <v>-1.08568823932017E-8</v>
      </c>
      <c r="G170" s="1">
        <v>4.2548504304294603E-9</v>
      </c>
      <c r="H170" s="1">
        <v>2.1732479628847E-6</v>
      </c>
      <c r="I170" s="2">
        <f t="shared" si="15"/>
        <v>-0.88096869432518543</v>
      </c>
      <c r="J170">
        <f ca="1">_xll.RiskNormal(C170,SQRT(E170),_xll.RiskCorrmat(betacorrelations,337))</f>
        <v>1.56494513423188E-2</v>
      </c>
      <c r="K170">
        <f ca="1">_xll.RiskNormal(D170,SQRT(G170),_xll.RiskCorrmat(betacorrelations,338))</f>
        <v>2.34607377939804E-4</v>
      </c>
      <c r="L170">
        <f ca="1">_xll.RiskNormal(0,SQRT(H170))</f>
        <v>0</v>
      </c>
      <c r="M170" s="1">
        <f t="shared" si="11"/>
        <v>1.5279147191741978E-2</v>
      </c>
      <c r="N170" s="1">
        <f t="shared" si="12"/>
        <v>1.0675811742752019E-4</v>
      </c>
      <c r="O170" s="1">
        <f t="shared" si="13"/>
        <v>1.6019755492895624E-2</v>
      </c>
      <c r="P170" s="1">
        <f t="shared" si="14"/>
        <v>3.6245663845208779E-4</v>
      </c>
    </row>
    <row r="171" spans="1:16" x14ac:dyDescent="0.45">
      <c r="A171" t="s">
        <v>127</v>
      </c>
      <c r="B171">
        <v>27.003420503580401</v>
      </c>
      <c r="C171">
        <v>1.35513704570318E-2</v>
      </c>
      <c r="D171">
        <v>4.01840127501111E-4</v>
      </c>
      <c r="E171" s="1">
        <v>1.3232355501527099E-8</v>
      </c>
      <c r="F171" s="1">
        <v>-4.2188162346594597E-9</v>
      </c>
      <c r="G171" s="1">
        <v>1.77903193723162E-9</v>
      </c>
      <c r="H171" s="1">
        <v>5.2969819247018597E-7</v>
      </c>
      <c r="I171" s="2">
        <f t="shared" si="15"/>
        <v>-0.86952116212487429</v>
      </c>
      <c r="J171">
        <f ca="1">_xll.RiskNormal(C171,SQRT(E171),_xll.RiskCorrmat(betacorrelations,339))</f>
        <v>1.35513704570318E-2</v>
      </c>
      <c r="K171">
        <f ca="1">_xll.RiskNormal(D171,SQRT(G171),_xll.RiskCorrmat(betacorrelations,340))</f>
        <v>4.01840127501111E-4</v>
      </c>
      <c r="L171">
        <f ca="1">_xll.RiskNormal(0,SQRT(H171))</f>
        <v>0</v>
      </c>
      <c r="M171" s="1">
        <f t="shared" si="11"/>
        <v>1.3325907784079787E-2</v>
      </c>
      <c r="N171" s="1">
        <f t="shared" si="12"/>
        <v>3.1917012635154654E-4</v>
      </c>
      <c r="O171" s="1">
        <f t="shared" si="13"/>
        <v>1.3776833129983812E-2</v>
      </c>
      <c r="P171" s="1">
        <f t="shared" si="14"/>
        <v>4.8451012865067546E-4</v>
      </c>
    </row>
    <row r="172" spans="1:16" x14ac:dyDescent="0.45">
      <c r="A172" t="s">
        <v>195</v>
      </c>
      <c r="B172">
        <v>27.535121326184701</v>
      </c>
      <c r="C172">
        <v>1.32808590670659E-2</v>
      </c>
      <c r="D172">
        <v>3.3725147694997198E-4</v>
      </c>
      <c r="E172" s="1">
        <v>1.1381684489718799E-8</v>
      </c>
      <c r="F172" s="1">
        <v>-4.0328265945864997E-9</v>
      </c>
      <c r="G172" s="1">
        <v>1.8120465324044399E-9</v>
      </c>
      <c r="H172" s="1">
        <v>4.5663414202398699E-7</v>
      </c>
      <c r="I172" s="2">
        <f t="shared" si="15"/>
        <v>-0.88801766317838959</v>
      </c>
      <c r="J172">
        <f ca="1">_xll.RiskNormal(C172,SQRT(E172),_xll.RiskCorrmat(betacorrelations,341))</f>
        <v>1.32808590670659E-2</v>
      </c>
      <c r="K172">
        <f ca="1">_xll.RiskNormal(D172,SQRT(G172),_xll.RiskCorrmat(betacorrelations,342))</f>
        <v>3.3725147694997198E-4</v>
      </c>
      <c r="L172">
        <f ca="1">_xll.RiskNormal(0,SQRT(H172))</f>
        <v>0</v>
      </c>
      <c r="M172" s="1">
        <f t="shared" si="11"/>
        <v>1.3071756510563824E-2</v>
      </c>
      <c r="N172" s="1">
        <f t="shared" si="12"/>
        <v>2.5381792279527415E-4</v>
      </c>
      <c r="O172" s="1">
        <f t="shared" si="13"/>
        <v>1.3489961623567977E-2</v>
      </c>
      <c r="P172" s="1">
        <f t="shared" si="14"/>
        <v>4.206850311046698E-4</v>
      </c>
    </row>
    <row r="173" spans="1:16" x14ac:dyDescent="0.45">
      <c r="A173" t="s">
        <v>9</v>
      </c>
      <c r="B173">
        <v>10.970493821517101</v>
      </c>
      <c r="C173">
        <v>-9.7085278607711104E-3</v>
      </c>
      <c r="D173">
        <v>5.0132344650752304E-4</v>
      </c>
      <c r="E173" s="1">
        <v>5.6796610474127004E-9</v>
      </c>
      <c r="F173" s="1">
        <v>-1.0568937780324301E-9</v>
      </c>
      <c r="G173" s="1">
        <v>2.4398458560507701E-10</v>
      </c>
      <c r="H173" s="1">
        <v>5.0440618966909895E-7</v>
      </c>
      <c r="I173" s="2">
        <f t="shared" si="15"/>
        <v>-0.89781930045576197</v>
      </c>
      <c r="J173">
        <f ca="1">_xll.RiskNormal(C173,SQRT(E173),_xll.RiskCorrmat(betacorrelations,343))</f>
        <v>-9.7085278607711104E-3</v>
      </c>
      <c r="K173">
        <f ca="1">_xll.RiskNormal(D173,SQRT(G173),_xll.RiskCorrmat(betacorrelations,344))</f>
        <v>5.0132344650752304E-4</v>
      </c>
      <c r="L173">
        <f ca="1">_xll.RiskNormal(0,SQRT(H173))</f>
        <v>0</v>
      </c>
      <c r="M173" s="1">
        <f t="shared" si="11"/>
        <v>-9.856240371682477E-3</v>
      </c>
      <c r="N173" s="1">
        <f t="shared" si="12"/>
        <v>4.7070823486264845E-4</v>
      </c>
      <c r="O173" s="1">
        <f t="shared" si="13"/>
        <v>-9.5608153498597439E-3</v>
      </c>
      <c r="P173" s="1">
        <f t="shared" si="14"/>
        <v>5.3193865815239763E-4</v>
      </c>
    </row>
    <row r="174" spans="1:16" x14ac:dyDescent="0.45">
      <c r="A174" t="s">
        <v>111</v>
      </c>
      <c r="B174">
        <v>15.4992163989814</v>
      </c>
      <c r="C174">
        <v>2.19266356378694E-3</v>
      </c>
      <c r="D174">
        <v>4.37330746999216E-4</v>
      </c>
      <c r="E174" s="1">
        <v>7.1602039551943404E-10</v>
      </c>
      <c r="F174" s="1">
        <v>-2.01691672730184E-10</v>
      </c>
      <c r="G174" s="1">
        <v>7.9618486624736595E-11</v>
      </c>
      <c r="H174" s="1">
        <v>1.10380607599107E-7</v>
      </c>
      <c r="I174" s="2">
        <f t="shared" si="15"/>
        <v>-0.8447307662383351</v>
      </c>
      <c r="J174">
        <f ca="1">_xll.RiskNormal(C174,SQRT(E174),_xll.RiskCorrmat(betacorrelations,345))</f>
        <v>2.19266356378694E-3</v>
      </c>
      <c r="K174">
        <f ca="1">_xll.RiskNormal(D174,SQRT(G174),_xll.RiskCorrmat(betacorrelations,346))</f>
        <v>4.37330746999216E-4</v>
      </c>
      <c r="L174">
        <f ca="1">_xll.RiskNormal(0,SQRT(H174))</f>
        <v>0</v>
      </c>
      <c r="M174" s="1">
        <f t="shared" si="11"/>
        <v>2.1402167912320203E-3</v>
      </c>
      <c r="N174" s="1">
        <f t="shared" si="12"/>
        <v>4.1984182541389268E-4</v>
      </c>
      <c r="O174" s="1">
        <f t="shared" si="13"/>
        <v>2.2451103363418596E-3</v>
      </c>
      <c r="P174" s="1">
        <f t="shared" si="14"/>
        <v>4.5481966858453932E-4</v>
      </c>
    </row>
    <row r="175" spans="1:16" x14ac:dyDescent="0.45">
      <c r="A175" t="s">
        <v>184</v>
      </c>
      <c r="B175">
        <v>24.5361307495359</v>
      </c>
      <c r="C175">
        <v>1.0618795499403999E-2</v>
      </c>
      <c r="D175">
        <v>5.1251199853642195E-4</v>
      </c>
      <c r="E175" s="1">
        <v>2.3026090784661801E-8</v>
      </c>
      <c r="F175" s="1">
        <v>-8.7111958105449702E-9</v>
      </c>
      <c r="G175" s="1">
        <v>4.3561187699012302E-9</v>
      </c>
      <c r="H175" s="1">
        <v>7.39292454960554E-7</v>
      </c>
      <c r="I175" s="2">
        <f t="shared" si="15"/>
        <v>-0.86979681585026825</v>
      </c>
      <c r="J175">
        <f ca="1">_xll.RiskNormal(C175,SQRT(E175),_xll.RiskCorrmat(betacorrelations,347))</f>
        <v>1.0618795499403999E-2</v>
      </c>
      <c r="K175">
        <f ca="1">_xll.RiskNormal(D175,SQRT(G175),_xll.RiskCorrmat(betacorrelations,348))</f>
        <v>5.1251199853642195E-4</v>
      </c>
      <c r="L175">
        <f ca="1">_xll.RiskNormal(0,SQRT(H175))</f>
        <v>0</v>
      </c>
      <c r="M175" s="1">
        <f t="shared" si="11"/>
        <v>1.0321378232994739E-2</v>
      </c>
      <c r="N175" s="1">
        <f t="shared" si="12"/>
        <v>3.8315023499536406E-4</v>
      </c>
      <c r="O175" s="1">
        <f t="shared" si="13"/>
        <v>1.091621276581326E-2</v>
      </c>
      <c r="P175" s="1">
        <f t="shared" si="14"/>
        <v>6.4187376207747984E-4</v>
      </c>
    </row>
    <row r="176" spans="1:16" x14ac:dyDescent="0.45">
      <c r="A176" t="s">
        <v>95</v>
      </c>
      <c r="B176">
        <v>22.1334553465319</v>
      </c>
      <c r="C176">
        <v>8.6962682821718207E-3</v>
      </c>
      <c r="D176">
        <v>3.9164668839008397E-4</v>
      </c>
      <c r="E176" s="1">
        <v>8.8855994850194504E-9</v>
      </c>
      <c r="F176" s="1">
        <v>-3.9999962156381099E-9</v>
      </c>
      <c r="G176" s="1">
        <v>2.4647782168616798E-9</v>
      </c>
      <c r="H176" s="1">
        <v>2.6486277124844403E-7</v>
      </c>
      <c r="I176" s="2">
        <f t="shared" si="15"/>
        <v>-0.85472673808079702</v>
      </c>
      <c r="J176">
        <f ca="1">_xll.RiskNormal(C176,SQRT(E176),_xll.RiskCorrmat(betacorrelations,349))</f>
        <v>8.6962682821718207E-3</v>
      </c>
      <c r="K176">
        <f ca="1">_xll.RiskNormal(D176,SQRT(G176),_xll.RiskCorrmat(betacorrelations,350))</f>
        <v>3.9164668839008397E-4</v>
      </c>
      <c r="L176">
        <f ca="1">_xll.RiskNormal(0,SQRT(H176))</f>
        <v>0</v>
      </c>
      <c r="M176" s="1">
        <f t="shared" si="11"/>
        <v>8.5115119047943378E-3</v>
      </c>
      <c r="N176" s="1">
        <f t="shared" si="12"/>
        <v>2.9433948414550696E-4</v>
      </c>
      <c r="O176" s="1">
        <f t="shared" si="13"/>
        <v>8.8810246595493036E-3</v>
      </c>
      <c r="P176" s="1">
        <f t="shared" si="14"/>
        <v>4.8895389263466094E-4</v>
      </c>
    </row>
    <row r="177" spans="1:16" x14ac:dyDescent="0.45">
      <c r="A177" t="s">
        <v>156</v>
      </c>
      <c r="B177">
        <v>26.9456572181873</v>
      </c>
      <c r="C177">
        <v>1.31232811649985E-2</v>
      </c>
      <c r="D177">
        <v>4.02298230475724E-4</v>
      </c>
      <c r="E177" s="1">
        <v>1.8925931160717399E-8</v>
      </c>
      <c r="F177" s="1">
        <v>-7.3568456951703701E-9</v>
      </c>
      <c r="G177" s="1">
        <v>3.8252900117197399E-9</v>
      </c>
      <c r="H177" s="1">
        <v>7.0658900694507296E-7</v>
      </c>
      <c r="I177" s="2">
        <f t="shared" si="15"/>
        <v>-0.86463106647663812</v>
      </c>
      <c r="J177">
        <f ca="1">_xll.RiskNormal(C177,SQRT(E177),_xll.RiskCorrmat(betacorrelations,351))</f>
        <v>1.31232811649985E-2</v>
      </c>
      <c r="K177">
        <f ca="1">_xll.RiskNormal(D177,SQRT(G177),_xll.RiskCorrmat(betacorrelations,352))</f>
        <v>4.02298230475724E-4</v>
      </c>
      <c r="L177">
        <f ca="1">_xll.RiskNormal(0,SQRT(H177))</f>
        <v>0</v>
      </c>
      <c r="M177" s="1">
        <f t="shared" si="11"/>
        <v>1.2853640928485082E-2</v>
      </c>
      <c r="N177" s="1">
        <f t="shared" si="12"/>
        <v>2.8107432974231849E-4</v>
      </c>
      <c r="O177" s="1">
        <f t="shared" si="13"/>
        <v>1.3392921401511918E-2</v>
      </c>
      <c r="P177" s="1">
        <f t="shared" si="14"/>
        <v>5.2352213120912951E-4</v>
      </c>
    </row>
    <row r="178" spans="1:16" x14ac:dyDescent="0.45">
      <c r="A178" t="s">
        <v>67</v>
      </c>
      <c r="B178">
        <v>18.3373710959509</v>
      </c>
      <c r="C178">
        <v>6.8211367949943501E-3</v>
      </c>
      <c r="D178">
        <v>4.57527114957046E-4</v>
      </c>
      <c r="E178" s="1">
        <v>5.3629529533103202E-9</v>
      </c>
      <c r="F178" s="1">
        <v>-1.75059333021063E-9</v>
      </c>
      <c r="G178" s="1">
        <v>7.6526628395609701E-10</v>
      </c>
      <c r="H178" s="1">
        <v>4.13410962707213E-7</v>
      </c>
      <c r="I178" s="2">
        <f t="shared" si="15"/>
        <v>-0.86412582811841565</v>
      </c>
      <c r="J178">
        <f ca="1">_xll.RiskNormal(C178,SQRT(E178),_xll.RiskCorrmat(betacorrelations,353))</f>
        <v>6.8211367949943501E-3</v>
      </c>
      <c r="K178">
        <f ca="1">_xll.RiskNormal(D178,SQRT(G178),_xll.RiskCorrmat(betacorrelations,354))</f>
        <v>4.57527114957046E-4</v>
      </c>
      <c r="L178">
        <f ca="1">_xll.RiskNormal(0,SQRT(H178))</f>
        <v>0</v>
      </c>
      <c r="M178" s="1">
        <f t="shared" si="11"/>
        <v>6.6776017119469051E-3</v>
      </c>
      <c r="N178" s="1">
        <f t="shared" si="12"/>
        <v>4.0330675940264426E-4</v>
      </c>
      <c r="O178" s="1">
        <f t="shared" si="13"/>
        <v>6.9646718780417951E-3</v>
      </c>
      <c r="P178" s="1">
        <f t="shared" si="14"/>
        <v>5.1174747051144773E-4</v>
      </c>
    </row>
    <row r="179" spans="1:16" x14ac:dyDescent="0.45">
      <c r="A179" t="s">
        <v>65</v>
      </c>
      <c r="B179">
        <v>12.895992136030801</v>
      </c>
      <c r="C179">
        <v>-1.85767809662247E-3</v>
      </c>
      <c r="D179">
        <v>4.9747478639447604E-4</v>
      </c>
      <c r="E179" s="1">
        <v>2.04510154678377E-10</v>
      </c>
      <c r="F179" s="1">
        <v>-5.8104641557022903E-11</v>
      </c>
      <c r="G179" s="1">
        <v>2.17647030667753E-11</v>
      </c>
      <c r="H179" s="1">
        <v>1.67362135384976E-8</v>
      </c>
      <c r="I179" s="2">
        <f t="shared" si="15"/>
        <v>-0.87091749460362289</v>
      </c>
      <c r="J179">
        <f ca="1">_xll.RiskNormal(C179,SQRT(E179),_xll.RiskCorrmat(betacorrelations,355))</f>
        <v>-1.85767809662247E-3</v>
      </c>
      <c r="K179">
        <f ca="1">_xll.RiskNormal(D179,SQRT(G179),_xll.RiskCorrmat(betacorrelations,356))</f>
        <v>4.9747478639447604E-4</v>
      </c>
      <c r="L179">
        <f ca="1">_xll.RiskNormal(0,SQRT(H179))</f>
        <v>0</v>
      </c>
      <c r="M179" s="1">
        <f t="shared" si="11"/>
        <v>-1.8857074778181448E-3</v>
      </c>
      <c r="N179" s="1">
        <f t="shared" si="12"/>
        <v>4.8833086582935063E-4</v>
      </c>
      <c r="O179" s="1">
        <f t="shared" si="13"/>
        <v>-1.8296487154267952E-3</v>
      </c>
      <c r="P179" s="1">
        <f t="shared" si="14"/>
        <v>5.0661870695960145E-4</v>
      </c>
    </row>
    <row r="180" spans="1:16" x14ac:dyDescent="0.45">
      <c r="A180" t="s">
        <v>66</v>
      </c>
      <c r="B180">
        <v>24.983539666443701</v>
      </c>
      <c r="C180">
        <v>1.07290022098686E-2</v>
      </c>
      <c r="D180">
        <v>3.73608456035269E-4</v>
      </c>
      <c r="E180" s="1">
        <v>2.1823400787655499E-8</v>
      </c>
      <c r="F180" s="1">
        <v>-8.2321992756494898E-9</v>
      </c>
      <c r="G180" s="1">
        <v>4.0591087884838402E-9</v>
      </c>
      <c r="H180" s="1">
        <v>7.5705456027049896E-7</v>
      </c>
      <c r="I180" s="2">
        <f t="shared" si="15"/>
        <v>-0.87466009905200037</v>
      </c>
      <c r="J180">
        <f ca="1">_xll.RiskNormal(C180,SQRT(E180),_xll.RiskCorrmat(betacorrelations,357))</f>
        <v>1.07290022098686E-2</v>
      </c>
      <c r="K180">
        <f ca="1">_xll.RiskNormal(D180,SQRT(G180),_xll.RiskCorrmat(betacorrelations,358))</f>
        <v>3.73608456035269E-4</v>
      </c>
      <c r="L180">
        <f ca="1">_xll.RiskNormal(0,SQRT(H180))</f>
        <v>0</v>
      </c>
      <c r="M180" s="1">
        <f t="shared" si="11"/>
        <v>1.043945639921706E-2</v>
      </c>
      <c r="N180" s="1">
        <f t="shared" si="12"/>
        <v>2.4873463042782027E-4</v>
      </c>
      <c r="O180" s="1">
        <f t="shared" si="13"/>
        <v>1.1018548020520139E-2</v>
      </c>
      <c r="P180" s="1">
        <f t="shared" si="14"/>
        <v>4.9848228164271779E-4</v>
      </c>
    </row>
    <row r="181" spans="1:16" x14ac:dyDescent="0.45">
      <c r="A181" t="s">
        <v>201</v>
      </c>
      <c r="B181">
        <v>20.683076899597399</v>
      </c>
      <c r="C181">
        <v>4.9227914853691504E-3</v>
      </c>
      <c r="D181">
        <v>4.7275710368650299E-4</v>
      </c>
      <c r="E181" s="1">
        <v>3.8234196749926603E-9</v>
      </c>
      <c r="F181" s="1">
        <v>-1.5832336042662401E-9</v>
      </c>
      <c r="G181" s="1">
        <v>8.6197990564078895E-10</v>
      </c>
      <c r="H181" s="1">
        <v>7.0383753821878895E-8</v>
      </c>
      <c r="I181" s="2">
        <f t="shared" si="15"/>
        <v>-0.87210834673465099</v>
      </c>
      <c r="J181">
        <f ca="1">_xll.RiskNormal(C181,SQRT(E181),_xll.RiskCorrmat(betacorrelations,359))</f>
        <v>4.9227914853691504E-3</v>
      </c>
      <c r="K181">
        <f ca="1">_xll.RiskNormal(D181,SQRT(G181),_xll.RiskCorrmat(betacorrelations,360))</f>
        <v>4.7275710368650299E-4</v>
      </c>
      <c r="L181">
        <f ca="1">_xll.RiskNormal(0,SQRT(H181))</f>
        <v>0</v>
      </c>
      <c r="M181" s="1">
        <f t="shared" si="11"/>
        <v>4.8015972238570981E-3</v>
      </c>
      <c r="N181" s="1">
        <f t="shared" si="12"/>
        <v>4.1521249485553034E-4</v>
      </c>
      <c r="O181" s="1">
        <f t="shared" si="13"/>
        <v>5.0439857468812027E-3</v>
      </c>
      <c r="P181" s="1">
        <f t="shared" si="14"/>
        <v>5.3030171251747563E-4</v>
      </c>
    </row>
    <row r="182" spans="1:16" x14ac:dyDescent="0.45">
      <c r="A182" t="s">
        <v>152</v>
      </c>
      <c r="B182">
        <v>23.259612654428501</v>
      </c>
      <c r="C182">
        <v>1.01988916086864E-2</v>
      </c>
      <c r="D182">
        <v>3.5832581377757202E-4</v>
      </c>
      <c r="E182" s="1">
        <v>4.6414813307205296E-9</v>
      </c>
      <c r="F182" s="1">
        <v>-1.66965620850824E-9</v>
      </c>
      <c r="G182" s="1">
        <v>7.8222805025444696E-10</v>
      </c>
      <c r="H182" s="1">
        <v>2.2811326155176999E-7</v>
      </c>
      <c r="I182" s="2">
        <f t="shared" si="15"/>
        <v>-0.87625812917864443</v>
      </c>
      <c r="J182">
        <f ca="1">_xll.RiskNormal(C182,SQRT(E182),_xll.RiskCorrmat(betacorrelations,361))</f>
        <v>1.01988916086864E-2</v>
      </c>
      <c r="K182">
        <f ca="1">_xll.RiskNormal(D182,SQRT(G182),_xll.RiskCorrmat(betacorrelations,362))</f>
        <v>3.5832581377757202E-4</v>
      </c>
      <c r="L182">
        <f ca="1">_xll.RiskNormal(0,SQRT(H182))</f>
        <v>0</v>
      </c>
      <c r="M182" s="1">
        <f t="shared" si="11"/>
        <v>1.0065359909528126E-2</v>
      </c>
      <c r="N182" s="1">
        <f t="shared" si="12"/>
        <v>3.0350786710079943E-4</v>
      </c>
      <c r="O182" s="1">
        <f t="shared" si="13"/>
        <v>1.0332423307844674E-2</v>
      </c>
      <c r="P182" s="1">
        <f t="shared" si="14"/>
        <v>4.1314376045434461E-4</v>
      </c>
    </row>
    <row r="183" spans="1:16" x14ac:dyDescent="0.45">
      <c r="A183" t="s">
        <v>175</v>
      </c>
      <c r="B183">
        <v>23.085105745430401</v>
      </c>
      <c r="C183">
        <v>9.8479258643101395E-3</v>
      </c>
      <c r="D183">
        <v>3.9055123512780101E-4</v>
      </c>
      <c r="E183" s="1">
        <v>5.0759340721232101E-9</v>
      </c>
      <c r="F183" s="1">
        <v>-1.66311889345945E-9</v>
      </c>
      <c r="G183" s="1">
        <v>7.0916174271603498E-10</v>
      </c>
      <c r="H183" s="1">
        <v>2.27832503281669E-7</v>
      </c>
      <c r="I183" s="2">
        <f t="shared" si="15"/>
        <v>-0.87658222840071209</v>
      </c>
      <c r="J183">
        <f ca="1">_xll.RiskNormal(C183,SQRT(E183),_xll.RiskCorrmat(betacorrelations,363))</f>
        <v>9.8479258643101395E-3</v>
      </c>
      <c r="K183">
        <f ca="1">_xll.RiskNormal(D183,SQRT(G183),_xll.RiskCorrmat(betacorrelations,364))</f>
        <v>3.9055123512780101E-4</v>
      </c>
      <c r="L183">
        <f ca="1">_xll.RiskNormal(0,SQRT(H183))</f>
        <v>0</v>
      </c>
      <c r="M183" s="1">
        <f t="shared" si="11"/>
        <v>9.7082845082172228E-3</v>
      </c>
      <c r="N183" s="1">
        <f t="shared" si="12"/>
        <v>3.3835625691324556E-4</v>
      </c>
      <c r="O183" s="1">
        <f t="shared" si="13"/>
        <v>9.9875672204030562E-3</v>
      </c>
      <c r="P183" s="1">
        <f t="shared" si="14"/>
        <v>4.4274621334235647E-4</v>
      </c>
    </row>
    <row r="184" spans="1:16" x14ac:dyDescent="0.45">
      <c r="A184" t="s">
        <v>157</v>
      </c>
      <c r="B184">
        <v>8.4636874729025102</v>
      </c>
      <c r="C184">
        <v>-4.5291752604167202E-3</v>
      </c>
      <c r="D184">
        <v>4.8672346990121602E-4</v>
      </c>
      <c r="E184" s="1">
        <v>1.38529850181878E-9</v>
      </c>
      <c r="F184" s="1">
        <v>-3.2859214729020301E-10</v>
      </c>
      <c r="G184" s="1">
        <v>9.5715161169492098E-11</v>
      </c>
      <c r="H184" s="1">
        <v>7.6656378612060704E-8</v>
      </c>
      <c r="I184" s="2">
        <f t="shared" si="15"/>
        <v>-0.90239178014436461</v>
      </c>
      <c r="J184">
        <f ca="1">_xll.RiskNormal(C184,SQRT(E184),_xll.RiskCorrmat(betacorrelations,365))</f>
        <v>-4.5291752604167202E-3</v>
      </c>
      <c r="K184">
        <f ca="1">_xll.RiskNormal(D184,SQRT(G184),_xll.RiskCorrmat(betacorrelations,366))</f>
        <v>4.8672346990121602E-4</v>
      </c>
      <c r="L184">
        <f ca="1">_xll.RiskNormal(0,SQRT(H184))</f>
        <v>0</v>
      </c>
      <c r="M184" s="1">
        <f t="shared" si="11"/>
        <v>-4.6021256731954494E-3</v>
      </c>
      <c r="N184" s="1">
        <f t="shared" si="12"/>
        <v>4.6754798129860879E-4</v>
      </c>
      <c r="O184" s="1">
        <f t="shared" si="13"/>
        <v>-4.456224847637991E-3</v>
      </c>
      <c r="P184" s="1">
        <f t="shared" si="14"/>
        <v>5.0589895850382325E-4</v>
      </c>
    </row>
    <row r="185" spans="1:16" x14ac:dyDescent="0.45">
      <c r="A185" t="s">
        <v>43</v>
      </c>
      <c r="B185">
        <v>17.661524649266202</v>
      </c>
      <c r="C185">
        <v>5.3507075420889897E-3</v>
      </c>
      <c r="D185">
        <v>4.1216063258305501E-4</v>
      </c>
      <c r="E185" s="1">
        <v>2.55654229972174E-9</v>
      </c>
      <c r="F185" s="1">
        <v>-1.1251445521367499E-9</v>
      </c>
      <c r="G185" s="1">
        <v>6.43642950918382E-10</v>
      </c>
      <c r="H185" s="1">
        <v>7.4558428360052996E-8</v>
      </c>
      <c r="I185" s="2">
        <f t="shared" si="15"/>
        <v>-0.87712062162933913</v>
      </c>
      <c r="J185">
        <f ca="1">_xll.RiskNormal(C185,SQRT(E185),_xll.RiskCorrmat(betacorrelations,367))</f>
        <v>5.3507075420889897E-3</v>
      </c>
      <c r="K185">
        <f ca="1">_xll.RiskNormal(D185,SQRT(G185),_xll.RiskCorrmat(betacorrelations,368))</f>
        <v>4.1216063258305501E-4</v>
      </c>
      <c r="L185">
        <f ca="1">_xll.RiskNormal(0,SQRT(H185))</f>
        <v>0</v>
      </c>
      <c r="M185" s="1">
        <f t="shared" si="11"/>
        <v>5.2516055093216893E-3</v>
      </c>
      <c r="N185" s="1">
        <f t="shared" si="12"/>
        <v>3.6243519884690691E-4</v>
      </c>
      <c r="O185" s="1">
        <f t="shared" si="13"/>
        <v>5.4498095748562901E-3</v>
      </c>
      <c r="P185" s="1">
        <f t="shared" si="14"/>
        <v>4.6188606631920312E-4</v>
      </c>
    </row>
    <row r="186" spans="1:16" x14ac:dyDescent="0.45">
      <c r="A186" t="s">
        <v>130</v>
      </c>
      <c r="B186">
        <v>14.024392487945001</v>
      </c>
      <c r="C186">
        <v>-6.0837294144615002E-3</v>
      </c>
      <c r="D186">
        <v>6.1908540497366898E-4</v>
      </c>
      <c r="E186" s="1">
        <v>6.3165849226755299E-9</v>
      </c>
      <c r="F186" s="1">
        <v>-1.7491543993753399E-9</v>
      </c>
      <c r="G186" s="1">
        <v>6.3429066963075596E-10</v>
      </c>
      <c r="H186" s="1">
        <v>1.75825439430355E-7</v>
      </c>
      <c r="I186" s="2">
        <f t="shared" si="15"/>
        <v>-0.87386192180893063</v>
      </c>
      <c r="J186">
        <f ca="1">_xll.RiskNormal(C186,SQRT(E186),_xll.RiskCorrmat(betacorrelations,369))</f>
        <v>-6.0837294144615002E-3</v>
      </c>
      <c r="K186">
        <f ca="1">_xll.RiskNormal(D186,SQRT(G186),_xll.RiskCorrmat(betacorrelations,370))</f>
        <v>6.1908540497366898E-4</v>
      </c>
      <c r="L186">
        <f ca="1">_xll.RiskNormal(0,SQRT(H186))</f>
        <v>0</v>
      </c>
      <c r="M186" s="1">
        <f t="shared" si="11"/>
        <v>-6.2395042283402216E-3</v>
      </c>
      <c r="N186" s="1">
        <f t="shared" si="12"/>
        <v>5.697225542005065E-4</v>
      </c>
      <c r="O186" s="1">
        <f t="shared" si="13"/>
        <v>-5.9279546005827789E-3</v>
      </c>
      <c r="P186" s="1">
        <f t="shared" si="14"/>
        <v>6.6844825574683146E-4</v>
      </c>
    </row>
    <row r="187" spans="1:16" x14ac:dyDescent="0.45">
      <c r="A187" t="s">
        <v>200</v>
      </c>
      <c r="B187">
        <v>13.258961216301101</v>
      </c>
      <c r="C187">
        <v>-6.4617485399524996E-4</v>
      </c>
      <c r="D187">
        <v>4.1480248202895698E-4</v>
      </c>
      <c r="E187" s="1">
        <v>1.95718042560108E-10</v>
      </c>
      <c r="F187" s="1">
        <v>-5.0563004725196798E-11</v>
      </c>
      <c r="G187" s="1">
        <v>1.7724037750909202E-11</v>
      </c>
      <c r="H187" s="1">
        <v>4.0771662840093902E-8</v>
      </c>
      <c r="I187" s="2">
        <f t="shared" si="15"/>
        <v>-0.85849171672690039</v>
      </c>
      <c r="J187">
        <f ca="1">_xll.RiskNormal(C187,SQRT(E187),_xll.RiskCorrmat(betacorrelations,371))</f>
        <v>-6.4617485399524996E-4</v>
      </c>
      <c r="K187">
        <f ca="1">_xll.RiskNormal(D187,SQRT(G187),_xll.RiskCorrmat(betacorrelations,372))</f>
        <v>4.1480248202895698E-4</v>
      </c>
      <c r="L187">
        <f ca="1">_xll.RiskNormal(0,SQRT(H187))</f>
        <v>0</v>
      </c>
      <c r="M187" s="1">
        <f t="shared" si="11"/>
        <v>-6.7359510987113327E-4</v>
      </c>
      <c r="N187" s="1">
        <f t="shared" si="12"/>
        <v>4.0655089651925688E-4</v>
      </c>
      <c r="O187" s="1">
        <f t="shared" si="13"/>
        <v>-6.1875459811936665E-4</v>
      </c>
      <c r="P187" s="1">
        <f t="shared" si="14"/>
        <v>4.2305406753865709E-4</v>
      </c>
    </row>
    <row r="188" spans="1:16" x14ac:dyDescent="0.45">
      <c r="A188" t="s">
        <v>42</v>
      </c>
      <c r="B188">
        <v>25.1523136202925</v>
      </c>
      <c r="C188">
        <v>1.3745414572503001E-2</v>
      </c>
      <c r="D188">
        <v>5.4645468824692704E-4</v>
      </c>
      <c r="E188" s="1">
        <v>2.48929643527159E-8</v>
      </c>
      <c r="F188" s="1">
        <v>-8.3430965189262001E-9</v>
      </c>
      <c r="G188" s="1">
        <v>3.6901916593991401E-9</v>
      </c>
      <c r="H188" s="1">
        <v>8.4122603216186903E-7</v>
      </c>
      <c r="I188" s="2">
        <f t="shared" si="15"/>
        <v>-0.87049142588180806</v>
      </c>
      <c r="J188">
        <f ca="1">_xll.RiskNormal(C188,SQRT(E188),_xll.RiskCorrmat(betacorrelations,373))</f>
        <v>1.3745414572503001E-2</v>
      </c>
      <c r="K188">
        <f ca="1">_xll.RiskNormal(D188,SQRT(G188),_xll.RiskCorrmat(betacorrelations,374))</f>
        <v>5.4645468824692704E-4</v>
      </c>
      <c r="L188">
        <f ca="1">_xll.RiskNormal(0,SQRT(H188))</f>
        <v>0</v>
      </c>
      <c r="M188" s="1">
        <f t="shared" si="11"/>
        <v>1.3436175487234994E-2</v>
      </c>
      <c r="N188" s="1">
        <f t="shared" si="12"/>
        <v>4.2739067068180484E-4</v>
      </c>
      <c r="O188" s="1">
        <f t="shared" si="13"/>
        <v>1.4054653657771008E-2</v>
      </c>
      <c r="P188" s="1">
        <f t="shared" si="14"/>
        <v>6.6551870581204925E-4</v>
      </c>
    </row>
    <row r="189" spans="1:16" x14ac:dyDescent="0.45">
      <c r="A189" t="s">
        <v>151</v>
      </c>
      <c r="B189">
        <v>25.964552589677101</v>
      </c>
      <c r="C189">
        <v>1.1758946847904199E-2</v>
      </c>
      <c r="D189">
        <v>3.8780856534140998E-4</v>
      </c>
      <c r="E189" s="1">
        <v>9.0503002937694702E-9</v>
      </c>
      <c r="F189" s="1">
        <v>-3.42820406154038E-9</v>
      </c>
      <c r="G189" s="1">
        <v>1.6707270525630001E-9</v>
      </c>
      <c r="H189" s="1">
        <v>2.9980369045073298E-7</v>
      </c>
      <c r="I189" s="2">
        <f t="shared" si="15"/>
        <v>-0.88162199775472339</v>
      </c>
      <c r="J189">
        <f ca="1">_xll.RiskNormal(C189,SQRT(E189),_xll.RiskCorrmat(betacorrelations,375))</f>
        <v>1.1758946847904199E-2</v>
      </c>
      <c r="K189">
        <f ca="1">_xll.RiskNormal(D189,SQRT(G189),_xll.RiskCorrmat(betacorrelations,376))</f>
        <v>3.8780856534140998E-4</v>
      </c>
      <c r="L189">
        <f ca="1">_xll.RiskNormal(0,SQRT(H189))</f>
        <v>0</v>
      </c>
      <c r="M189" s="1">
        <f t="shared" si="11"/>
        <v>1.1572486038057881E-2</v>
      </c>
      <c r="N189" s="1">
        <f t="shared" si="12"/>
        <v>3.0769449014156748E-4</v>
      </c>
      <c r="O189" s="1">
        <f t="shared" si="13"/>
        <v>1.1945407657750517E-2</v>
      </c>
      <c r="P189" s="1">
        <f t="shared" si="14"/>
        <v>4.6792264054125248E-4</v>
      </c>
    </row>
    <row r="190" spans="1:16" x14ac:dyDescent="0.45">
      <c r="A190" t="s">
        <v>92</v>
      </c>
      <c r="B190">
        <v>23.302415108498799</v>
      </c>
      <c r="C190">
        <v>9.5064494956349603E-3</v>
      </c>
      <c r="D190">
        <v>4.3640280587643098E-4</v>
      </c>
      <c r="E190" s="1">
        <v>8.7169628928032302E-9</v>
      </c>
      <c r="F190" s="1">
        <v>-3.6436503780030102E-9</v>
      </c>
      <c r="G190" s="1">
        <v>2.0157988355472899E-9</v>
      </c>
      <c r="H190" s="1">
        <v>2.3906666176313502E-7</v>
      </c>
      <c r="I190" s="2">
        <f t="shared" si="15"/>
        <v>-0.86922158912697667</v>
      </c>
      <c r="J190">
        <f ca="1">_xll.RiskNormal(C190,SQRT(E190),_xll.RiskCorrmat(betacorrelations,377))</f>
        <v>9.5064494956349603E-3</v>
      </c>
      <c r="K190">
        <f ca="1">_xll.RiskNormal(D190,SQRT(G190),_xll.RiskCorrmat(betacorrelations,378))</f>
        <v>4.3640280587643098E-4</v>
      </c>
      <c r="L190">
        <f ca="1">_xll.RiskNormal(0,SQRT(H190))</f>
        <v>0</v>
      </c>
      <c r="M190" s="1">
        <f t="shared" si="11"/>
        <v>9.3234547289092612E-3</v>
      </c>
      <c r="N190" s="1">
        <f t="shared" si="12"/>
        <v>3.4840341493172917E-4</v>
      </c>
      <c r="O190" s="1">
        <f t="shared" si="13"/>
        <v>9.6894442623606594E-3</v>
      </c>
      <c r="P190" s="1">
        <f t="shared" si="14"/>
        <v>5.2440219682113284E-4</v>
      </c>
    </row>
    <row r="191" spans="1:16" x14ac:dyDescent="0.45">
      <c r="A191" t="s">
        <v>47</v>
      </c>
      <c r="B191">
        <v>25.831273981862999</v>
      </c>
      <c r="C191">
        <v>1.18263608980848E-2</v>
      </c>
      <c r="D191">
        <v>3.8157634029226898E-4</v>
      </c>
      <c r="E191" s="1">
        <v>1.32662041033772E-8</v>
      </c>
      <c r="F191" s="1">
        <v>-5.65990464840913E-9</v>
      </c>
      <c r="G191" s="1">
        <v>3.1777918200791999E-9</v>
      </c>
      <c r="H191" s="1">
        <v>3.4080575671572199E-7</v>
      </c>
      <c r="I191" s="2">
        <f t="shared" si="15"/>
        <v>-0.87171206315327776</v>
      </c>
      <c r="J191">
        <f ca="1">_xll.RiskNormal(C191,SQRT(E191),_xll.RiskCorrmat(betacorrelations,379))</f>
        <v>1.18263608980848E-2</v>
      </c>
      <c r="K191">
        <f ca="1">_xll.RiskNormal(D191,SQRT(G191),_xll.RiskCorrmat(betacorrelations,380))</f>
        <v>3.8157634029226898E-4</v>
      </c>
      <c r="L191">
        <f ca="1">_xll.RiskNormal(0,SQRT(H191))</f>
        <v>0</v>
      </c>
      <c r="M191" s="1">
        <f t="shared" si="11"/>
        <v>1.1600610040537074E-2</v>
      </c>
      <c r="N191" s="1">
        <f t="shared" si="12"/>
        <v>2.7108740394108375E-4</v>
      </c>
      <c r="O191" s="1">
        <f t="shared" si="13"/>
        <v>1.2052111755632526E-2</v>
      </c>
      <c r="P191" s="1">
        <f t="shared" si="14"/>
        <v>4.9206527664345421E-4</v>
      </c>
    </row>
    <row r="192" spans="1:16" x14ac:dyDescent="0.45">
      <c r="A192" t="s">
        <v>28</v>
      </c>
      <c r="B192">
        <v>20.6681055039505</v>
      </c>
      <c r="C192">
        <v>1.04650043144898E-2</v>
      </c>
      <c r="D192">
        <v>3.7942592495919303E-4</v>
      </c>
      <c r="E192" s="1">
        <v>1.0924174688931099E-8</v>
      </c>
      <c r="F192" s="1">
        <v>-3.53751106415434E-9</v>
      </c>
      <c r="G192" s="1">
        <v>1.52318067874956E-9</v>
      </c>
      <c r="H192" s="1">
        <v>5.4108566398282998E-7</v>
      </c>
      <c r="I192" s="2">
        <f t="shared" ref="I192:I195" si="16">F192/(SQRT(E192)*SQRT(G192))</f>
        <v>-0.86721698981281858</v>
      </c>
      <c r="J192">
        <f ca="1">_xll.RiskNormal(C192,SQRT(E192),_xll.RiskCorrmat(betacorrelations,381))</f>
        <v>1.04650043144898E-2</v>
      </c>
      <c r="K192">
        <f ca="1">_xll.RiskNormal(D192,SQRT(G192),_xll.RiskCorrmat(betacorrelations,382))</f>
        <v>3.7942592495919303E-4</v>
      </c>
      <c r="L192">
        <f ca="1">_xll.RiskNormal(0,SQRT(H192))</f>
        <v>0</v>
      </c>
      <c r="M192" s="1">
        <f t="shared" si="11"/>
        <v>1.0260147512100918E-2</v>
      </c>
      <c r="N192" s="1">
        <f t="shared" si="12"/>
        <v>3.0293114804282891E-4</v>
      </c>
      <c r="O192" s="1">
        <f t="shared" si="13"/>
        <v>1.0669861116878683E-2</v>
      </c>
      <c r="P192" s="1">
        <f t="shared" si="14"/>
        <v>4.5592070187555714E-4</v>
      </c>
    </row>
    <row r="193" spans="1:16" x14ac:dyDescent="0.45">
      <c r="A193" t="s">
        <v>91</v>
      </c>
      <c r="B193">
        <v>18.570702826872399</v>
      </c>
      <c r="C193">
        <v>5.4431389303552097E-3</v>
      </c>
      <c r="D193">
        <v>4.1960482037975199E-4</v>
      </c>
      <c r="E193" s="1">
        <v>3.5527728935329502E-9</v>
      </c>
      <c r="F193" s="1">
        <v>-1.1758860415609699E-9</v>
      </c>
      <c r="G193" s="1">
        <v>5.0602429505046399E-10</v>
      </c>
      <c r="H193" s="1">
        <v>2.8188008313239402E-7</v>
      </c>
      <c r="I193" s="2">
        <f t="shared" si="16"/>
        <v>-0.87699239533204476</v>
      </c>
      <c r="J193">
        <f ca="1">_xll.RiskNormal(C193,SQRT(E193),_xll.RiskCorrmat(betacorrelations,383))</f>
        <v>5.4431389303552097E-3</v>
      </c>
      <c r="K193">
        <f ca="1">_xll.RiskNormal(D193,SQRT(G193),_xll.RiskCorrmat(betacorrelations,384))</f>
        <v>4.1960482037975199E-4</v>
      </c>
      <c r="L193">
        <f ca="1">_xll.RiskNormal(0,SQRT(H193))</f>
        <v>0</v>
      </c>
      <c r="M193" s="1">
        <f t="shared" si="11"/>
        <v>5.3263128530103114E-3</v>
      </c>
      <c r="N193" s="1">
        <f t="shared" si="12"/>
        <v>3.7551465218018781E-4</v>
      </c>
      <c r="O193" s="1">
        <f t="shared" si="13"/>
        <v>5.559965007700108E-3</v>
      </c>
      <c r="P193" s="1">
        <f t="shared" si="14"/>
        <v>4.6369498857931618E-4</v>
      </c>
    </row>
    <row r="194" spans="1:16" x14ac:dyDescent="0.45">
      <c r="A194" t="s">
        <v>53</v>
      </c>
      <c r="B194">
        <v>22.435821625526401</v>
      </c>
      <c r="C194">
        <v>9.4013253897008795E-3</v>
      </c>
      <c r="D194">
        <v>4.1337259661326298E-4</v>
      </c>
      <c r="E194" s="1">
        <v>5.3952652021492301E-9</v>
      </c>
      <c r="F194" s="1">
        <v>-1.61799580838879E-9</v>
      </c>
      <c r="G194" s="1">
        <v>6.3167157887943503E-10</v>
      </c>
      <c r="H194" s="1">
        <v>3.6564719892017403E-7</v>
      </c>
      <c r="I194" s="2">
        <f t="shared" si="16"/>
        <v>-0.87644632668078093</v>
      </c>
      <c r="J194">
        <f ca="1">_xll.RiskNormal(C194,SQRT(E194),_xll.RiskCorrmat(betacorrelations,385))</f>
        <v>9.4013253897008795E-3</v>
      </c>
      <c r="K194">
        <f ca="1">_xll.RiskNormal(D194,SQRT(G194),_xll.RiskCorrmat(betacorrelations,386))</f>
        <v>4.1337259661326298E-4</v>
      </c>
      <c r="L194">
        <f ca="1">_xll.RiskNormal(0,SQRT(H194))</f>
        <v>0</v>
      </c>
      <c r="M194" s="1">
        <f t="shared" si="11"/>
        <v>9.257358550461503E-3</v>
      </c>
      <c r="N194" s="1">
        <f t="shared" si="12"/>
        <v>3.6411176493714083E-4</v>
      </c>
      <c r="O194" s="1">
        <f t="shared" si="13"/>
        <v>9.545292228940256E-3</v>
      </c>
      <c r="P194" s="1">
        <f t="shared" si="14"/>
        <v>4.6263342828938513E-4</v>
      </c>
    </row>
    <row r="195" spans="1:16" x14ac:dyDescent="0.45">
      <c r="A195" t="s">
        <v>122</v>
      </c>
      <c r="B195">
        <v>21.281965743990298</v>
      </c>
      <c r="C195">
        <v>8.9724712178796094E-3</v>
      </c>
      <c r="D195">
        <v>3.7585945130375298E-4</v>
      </c>
      <c r="E195" s="1">
        <v>5.4887592739534099E-9</v>
      </c>
      <c r="F195" s="1">
        <v>-1.5552901978044099E-9</v>
      </c>
      <c r="G195" s="1">
        <v>5.6694715836565898E-10</v>
      </c>
      <c r="H195" s="1">
        <v>4.5066633822450598E-7</v>
      </c>
      <c r="I195" s="2">
        <f t="shared" si="16"/>
        <v>-0.88166388506424009</v>
      </c>
      <c r="J195">
        <f ca="1">_xll.RiskNormal(C195,SQRT(E195),_xll.RiskCorrmat(betacorrelations,387))</f>
        <v>8.9724712178796094E-3</v>
      </c>
      <c r="K195">
        <f ca="1">_xll.RiskNormal(D195,SQRT(G195),_xll.RiskCorrmat(betacorrelations,388))</f>
        <v>3.7585945130375298E-4</v>
      </c>
      <c r="L195">
        <f ca="1">_xll.RiskNormal(0,SQRT(H195))</f>
        <v>0</v>
      </c>
      <c r="M195" s="1">
        <f t="shared" ref="M195" si="17">C195-1.96*SQRT(E195)</f>
        <v>8.8272623420254815E-3</v>
      </c>
      <c r="N195" s="1">
        <f t="shared" ref="N195" si="18">D195-1.96*SQRT(G195)</f>
        <v>3.2919057298449707E-4</v>
      </c>
      <c r="O195" s="1">
        <f t="shared" ref="O195" si="19">C195+1.96*SQRT(E195)</f>
        <v>9.1176800937337373E-3</v>
      </c>
      <c r="P195" s="1">
        <f t="shared" ref="P195" si="20">D195+1.96*SQRT(G195)</f>
        <v>4.2252832962300888E-4</v>
      </c>
    </row>
  </sheetData>
  <sortState ref="A2:H263">
    <sortCondition ref="A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Y389"/>
  <sheetViews>
    <sheetView workbookViewId="0">
      <selection activeCell="I11" sqref="I11"/>
    </sheetView>
  </sheetViews>
  <sheetFormatPr defaultColWidth="8.796875" defaultRowHeight="14.25" x14ac:dyDescent="0.45"/>
  <sheetData>
    <row r="1" spans="1:389" x14ac:dyDescent="0.45">
      <c r="A1" s="3" t="s">
        <v>206</v>
      </c>
      <c r="B1" s="4" t="str">
        <f ca="1">"AFG / beta1dist in "&amp;CELL("address",'damages-1990'!$J$2)</f>
        <v>AFG / beta1dist in '[BHM betas v3pd.xlsx]damages-1990'!$J$2</v>
      </c>
      <c r="C1" s="4" t="str">
        <f ca="1">"AFG / beta2dist in "&amp;CELL("address",'damages-1990'!$K$2)</f>
        <v>AFG / beta2dist in '[BHM betas v3pd.xlsx]damages-1990'!$K$2</v>
      </c>
      <c r="D1" s="4" t="str">
        <f ca="1">"AGO / beta1dist in "&amp;CELL("address",'damages-1990'!$J$3)</f>
        <v>AGO / beta1dist in '[BHM betas v3pd.xlsx]damages-1990'!$J$3</v>
      </c>
      <c r="E1" s="4" t="str">
        <f ca="1">"AGO / beta2dist in "&amp;CELL("address",'damages-1990'!$K$3)</f>
        <v>AGO / beta2dist in '[BHM betas v3pd.xlsx]damages-1990'!$K$3</v>
      </c>
      <c r="F1" s="4" t="str">
        <f ca="1">"ALB / beta1dist in "&amp;CELL("address",'damages-1990'!$J$4)</f>
        <v>ALB / beta1dist in '[BHM betas v3pd.xlsx]damages-1990'!$J$4</v>
      </c>
      <c r="G1" s="4" t="str">
        <f ca="1">"ALB / beta2dist in "&amp;CELL("address",'damages-1990'!$K$4)</f>
        <v>ALB / beta2dist in '[BHM betas v3pd.xlsx]damages-1990'!$K$4</v>
      </c>
      <c r="H1" s="4" t="str">
        <f ca="1">"AND / beta1dist in "&amp;CELL("address",'damages-1990'!$J$5)</f>
        <v>AND / beta1dist in '[BHM betas v3pd.xlsx]damages-1990'!$J$5</v>
      </c>
      <c r="I1" s="4" t="str">
        <f ca="1">"AND / beta2dist in "&amp;CELL("address",'damages-1990'!$K$5)</f>
        <v>AND / beta2dist in '[BHM betas v3pd.xlsx]damages-1990'!$K$5</v>
      </c>
      <c r="J1" s="4" t="str">
        <f ca="1">"ARE / beta1dist in "&amp;CELL("address",'damages-1990'!$J$6)</f>
        <v>ARE / beta1dist in '[BHM betas v3pd.xlsx]damages-1990'!$J$6</v>
      </c>
      <c r="K1" s="4" t="str">
        <f ca="1">"ARE / beta2dist in "&amp;CELL("address",'damages-1990'!$K$6)</f>
        <v>ARE / beta2dist in '[BHM betas v3pd.xlsx]damages-1990'!$K$6</v>
      </c>
      <c r="L1" s="4" t="str">
        <f ca="1">"ARG / beta1dist in "&amp;CELL("address",'damages-1990'!$J$7)</f>
        <v>ARG / beta1dist in '[BHM betas v3pd.xlsx]damages-1990'!$J$7</v>
      </c>
      <c r="M1" s="4" t="str">
        <f ca="1">"ARG / beta2dist in "&amp;CELL("address",'damages-1990'!$K$7)</f>
        <v>ARG / beta2dist in '[BHM betas v3pd.xlsx]damages-1990'!$K$7</v>
      </c>
      <c r="N1" s="4" t="str">
        <f ca="1">"ARM / beta1dist in "&amp;CELL("address",'damages-1990'!$J$8)</f>
        <v>ARM / beta1dist in '[BHM betas v3pd.xlsx]damages-1990'!$J$8</v>
      </c>
      <c r="O1" s="4" t="str">
        <f ca="1">"ARM / beta2dist in "&amp;CELL("address",'damages-1990'!$K$8)</f>
        <v>ARM / beta2dist in '[BHM betas v3pd.xlsx]damages-1990'!$K$8</v>
      </c>
      <c r="P1" s="4" t="str">
        <f ca="1">"ATG / beta1dist in "&amp;CELL("address",'damages-1990'!$J$9)</f>
        <v>ATG / beta1dist in '[BHM betas v3pd.xlsx]damages-1990'!$J$9</v>
      </c>
      <c r="Q1" s="4" t="str">
        <f ca="1">"ATG / beta2dist in "&amp;CELL("address",'damages-1990'!$K$9)</f>
        <v>ATG / beta2dist in '[BHM betas v3pd.xlsx]damages-1990'!$K$9</v>
      </c>
      <c r="R1" s="4" t="str">
        <f ca="1">"AUS / beta1dist in "&amp;CELL("address",'damages-1990'!$J$10)</f>
        <v>AUS / beta1dist in '[BHM betas v3pd.xlsx]damages-1990'!$J$10</v>
      </c>
      <c r="S1" s="4" t="str">
        <f ca="1">"AUS / beta2dist in "&amp;CELL("address",'damages-1990'!$K$10)</f>
        <v>AUS / beta2dist in '[BHM betas v3pd.xlsx]damages-1990'!$K$10</v>
      </c>
      <c r="T1" s="4" t="str">
        <f ca="1">"AUT / beta1dist in "&amp;CELL("address",'damages-1990'!$J$11)</f>
        <v>AUT / beta1dist in '[BHM betas v3pd.xlsx]damages-1990'!$J$11</v>
      </c>
      <c r="U1" s="4" t="str">
        <f ca="1">"AUT / beta2dist in "&amp;CELL("address",'damages-1990'!$K$11)</f>
        <v>AUT / beta2dist in '[BHM betas v3pd.xlsx]damages-1990'!$K$11</v>
      </c>
      <c r="V1" s="4" t="str">
        <f ca="1">"AZE / beta1dist in "&amp;CELL("address",'damages-1990'!$J$12)</f>
        <v>AZE / beta1dist in '[BHM betas v3pd.xlsx]damages-1990'!$J$12</v>
      </c>
      <c r="W1" s="4" t="str">
        <f ca="1">"AZE / beta2dist in "&amp;CELL("address",'damages-1990'!$K$12)</f>
        <v>AZE / beta2dist in '[BHM betas v3pd.xlsx]damages-1990'!$K$12</v>
      </c>
      <c r="X1" s="4" t="str">
        <f ca="1">"BDI / beta1dist in "&amp;CELL("address",'damages-1990'!$J$13)</f>
        <v>BDI / beta1dist in '[BHM betas v3pd.xlsx]damages-1990'!$J$13</v>
      </c>
      <c r="Y1" s="4" t="str">
        <f ca="1">"BDI / beta2dist in "&amp;CELL("address",'damages-1990'!$K$13)</f>
        <v>BDI / beta2dist in '[BHM betas v3pd.xlsx]damages-1990'!$K$13</v>
      </c>
      <c r="Z1" s="4" t="str">
        <f ca="1">"BEL / beta1dist in "&amp;CELL("address",'damages-1990'!$J$14)</f>
        <v>BEL / beta1dist in '[BHM betas v3pd.xlsx]damages-1990'!$J$14</v>
      </c>
      <c r="AA1" s="4" t="str">
        <f ca="1">"BEL / beta2dist in "&amp;CELL("address",'damages-1990'!$K$14)</f>
        <v>BEL / beta2dist in '[BHM betas v3pd.xlsx]damages-1990'!$K$14</v>
      </c>
      <c r="AB1" s="4" t="str">
        <f ca="1">"BEN / beta1dist in "&amp;CELL("address",'damages-1990'!$J$15)</f>
        <v>BEN / beta1dist in '[BHM betas v3pd.xlsx]damages-1990'!$J$15</v>
      </c>
      <c r="AC1" s="4" t="str">
        <f ca="1">"BEN / beta2dist in "&amp;CELL("address",'damages-1990'!$K$15)</f>
        <v>BEN / beta2dist in '[BHM betas v3pd.xlsx]damages-1990'!$K$15</v>
      </c>
      <c r="AD1" s="4" t="str">
        <f ca="1">"BFA / beta1dist in "&amp;CELL("address",'damages-1990'!$J$16)</f>
        <v>BFA / beta1dist in '[BHM betas v3pd.xlsx]damages-1990'!$J$16</v>
      </c>
      <c r="AE1" s="4" t="str">
        <f ca="1">"BFA / beta2dist in "&amp;CELL("address",'damages-1990'!$K$16)</f>
        <v>BFA / beta2dist in '[BHM betas v3pd.xlsx]damages-1990'!$K$16</v>
      </c>
      <c r="AF1" s="4" t="str">
        <f ca="1">"BGD / beta1dist in "&amp;CELL("address",'damages-1990'!$J$17)</f>
        <v>BGD / beta1dist in '[BHM betas v3pd.xlsx]damages-1990'!$J$17</v>
      </c>
      <c r="AG1" s="4" t="str">
        <f ca="1">"BGD / beta2dist in "&amp;CELL("address",'damages-1990'!$K$17)</f>
        <v>BGD / beta2dist in '[BHM betas v3pd.xlsx]damages-1990'!$K$17</v>
      </c>
      <c r="AH1" s="4" t="str">
        <f ca="1">"BGR / beta1dist in "&amp;CELL("address",'damages-1990'!$J$18)</f>
        <v>BGR / beta1dist in '[BHM betas v3pd.xlsx]damages-1990'!$J$18</v>
      </c>
      <c r="AI1" s="4" t="str">
        <f ca="1">"BGR / beta2dist in "&amp;CELL("address",'damages-1990'!$K$18)</f>
        <v>BGR / beta2dist in '[BHM betas v3pd.xlsx]damages-1990'!$K$18</v>
      </c>
      <c r="AJ1" s="4" t="str">
        <f ca="1">"BHR / beta1dist in "&amp;CELL("address",'damages-1990'!$J$19)</f>
        <v>BHR / beta1dist in '[BHM betas v3pd.xlsx]damages-1990'!$J$19</v>
      </c>
      <c r="AK1" s="4" t="str">
        <f ca="1">"BHR / beta2dist in "&amp;CELL("address",'damages-1990'!$K$19)</f>
        <v>BHR / beta2dist in '[BHM betas v3pd.xlsx]damages-1990'!$K$19</v>
      </c>
      <c r="AL1" s="4" t="str">
        <f ca="1">"BHS / beta1dist in "&amp;CELL("address",'damages-1990'!$J$20)</f>
        <v>BHS / beta1dist in '[BHM betas v3pd.xlsx]damages-1990'!$J$20</v>
      </c>
      <c r="AM1" s="4" t="str">
        <f ca="1">"BHS / beta2dist in "&amp;CELL("address",'damages-1990'!$K$20)</f>
        <v>BHS / beta2dist in '[BHM betas v3pd.xlsx]damages-1990'!$K$20</v>
      </c>
      <c r="AN1" s="4" t="str">
        <f ca="1">"BIH / beta1dist in "&amp;CELL("address",'damages-1990'!$J$21)</f>
        <v>BIH / beta1dist in '[BHM betas v3pd.xlsx]damages-1990'!$J$21</v>
      </c>
      <c r="AO1" s="4" t="str">
        <f ca="1">"BIH / beta2dist in "&amp;CELL("address",'damages-1990'!$K$21)</f>
        <v>BIH / beta2dist in '[BHM betas v3pd.xlsx]damages-1990'!$K$21</v>
      </c>
      <c r="AP1" s="4" t="str">
        <f ca="1">"BLR / beta1dist in "&amp;CELL("address",'damages-1990'!$J$22)</f>
        <v>BLR / beta1dist in '[BHM betas v3pd.xlsx]damages-1990'!$J$22</v>
      </c>
      <c r="AQ1" s="4" t="str">
        <f ca="1">"BLR / beta2dist in "&amp;CELL("address",'damages-1990'!$K$22)</f>
        <v>BLR / beta2dist in '[BHM betas v3pd.xlsx]damages-1990'!$K$22</v>
      </c>
      <c r="AR1" s="4" t="str">
        <f ca="1">"BLZ / beta1dist in "&amp;CELL("address",'damages-1990'!$J$23)</f>
        <v>BLZ / beta1dist in '[BHM betas v3pd.xlsx]damages-1990'!$J$23</v>
      </c>
      <c r="AS1" s="4" t="str">
        <f ca="1">"BLZ / beta2dist in "&amp;CELL("address",'damages-1990'!$K$23)</f>
        <v>BLZ / beta2dist in '[BHM betas v3pd.xlsx]damages-1990'!$K$23</v>
      </c>
      <c r="AT1" s="4" t="str">
        <f ca="1">"BMU / beta1dist in "&amp;CELL("address",'damages-1990'!$J$24)</f>
        <v>BMU / beta1dist in '[BHM betas v3pd.xlsx]damages-1990'!$J$24</v>
      </c>
      <c r="AU1" s="4" t="str">
        <f ca="1">"BMU / beta2dist in "&amp;CELL("address",'damages-1990'!$K$24)</f>
        <v>BMU / beta2dist in '[BHM betas v3pd.xlsx]damages-1990'!$K$24</v>
      </c>
      <c r="AV1" s="4" t="str">
        <f ca="1">"BOL / beta1dist in "&amp;CELL("address",'damages-1990'!$J$25)</f>
        <v>BOL / beta1dist in '[BHM betas v3pd.xlsx]damages-1990'!$J$25</v>
      </c>
      <c r="AW1" s="4" t="str">
        <f ca="1">"BOL / beta2dist in "&amp;CELL("address",'damages-1990'!$K$25)</f>
        <v>BOL / beta2dist in '[BHM betas v3pd.xlsx]damages-1990'!$K$25</v>
      </c>
      <c r="AX1" s="4" t="str">
        <f ca="1">"BRA / beta1dist in "&amp;CELL("address",'damages-1990'!$J$26)</f>
        <v>BRA / beta1dist in '[BHM betas v3pd.xlsx]damages-1990'!$J$26</v>
      </c>
      <c r="AY1" s="4" t="str">
        <f ca="1">"BRA / beta2dist in "&amp;CELL("address",'damages-1990'!$K$26)</f>
        <v>BRA / beta2dist in '[BHM betas v3pd.xlsx]damages-1990'!$K$26</v>
      </c>
      <c r="AZ1" s="4" t="str">
        <f ca="1">"BRB / beta1dist in "&amp;CELL("address",'damages-1990'!$J$27)</f>
        <v>BRB / beta1dist in '[BHM betas v3pd.xlsx]damages-1990'!$J$27</v>
      </c>
      <c r="BA1" s="4" t="str">
        <f ca="1">"BRB / beta2dist in "&amp;CELL("address",'damages-1990'!$K$27)</f>
        <v>BRB / beta2dist in '[BHM betas v3pd.xlsx]damages-1990'!$K$27</v>
      </c>
      <c r="BB1" s="4" t="str">
        <f ca="1">"BRN / beta1dist in "&amp;CELL("address",'damages-1990'!$J$28)</f>
        <v>BRN / beta1dist in '[BHM betas v3pd.xlsx]damages-1990'!$J$28</v>
      </c>
      <c r="BC1" s="4" t="str">
        <f ca="1">"BRN / beta2dist in "&amp;CELL("address",'damages-1990'!$K$28)</f>
        <v>BRN / beta2dist in '[BHM betas v3pd.xlsx]damages-1990'!$K$28</v>
      </c>
      <c r="BD1" s="4" t="str">
        <f ca="1">"BTN / beta1dist in "&amp;CELL("address",'damages-1990'!$J$29)</f>
        <v>BTN / beta1dist in '[BHM betas v3pd.xlsx]damages-1990'!$J$29</v>
      </c>
      <c r="BE1" s="4" t="str">
        <f ca="1">"BTN / beta2dist in "&amp;CELL("address",'damages-1990'!$K$29)</f>
        <v>BTN / beta2dist in '[BHM betas v3pd.xlsx]damages-1990'!$K$29</v>
      </c>
      <c r="BF1" s="4" t="str">
        <f ca="1">"BWA / beta1dist in "&amp;CELL("address",'damages-1990'!$J$30)</f>
        <v>BWA / beta1dist in '[BHM betas v3pd.xlsx]damages-1990'!$J$30</v>
      </c>
      <c r="BG1" s="4" t="str">
        <f ca="1">"BWA / beta2dist in "&amp;CELL("address",'damages-1990'!$K$30)</f>
        <v>BWA / beta2dist in '[BHM betas v3pd.xlsx]damages-1990'!$K$30</v>
      </c>
      <c r="BH1" s="4" t="str">
        <f ca="1">"CAF / beta1dist in "&amp;CELL("address",'damages-1990'!$J$31)</f>
        <v>CAF / beta1dist in '[BHM betas v3pd.xlsx]damages-1990'!$J$31</v>
      </c>
      <c r="BI1" s="4" t="str">
        <f ca="1">"CAF / beta2dist in "&amp;CELL("address",'damages-1990'!$K$31)</f>
        <v>CAF / beta2dist in '[BHM betas v3pd.xlsx]damages-1990'!$K$31</v>
      </c>
      <c r="BJ1" s="4" t="str">
        <f ca="1">"CAN / beta1dist in "&amp;CELL("address",'damages-1990'!$J$32)</f>
        <v>CAN / beta1dist in '[BHM betas v3pd.xlsx]damages-1990'!$J$32</v>
      </c>
      <c r="BK1" s="4" t="str">
        <f ca="1">"CAN / beta2dist in "&amp;CELL("address",'damages-1990'!$K$32)</f>
        <v>CAN / beta2dist in '[BHM betas v3pd.xlsx]damages-1990'!$K$32</v>
      </c>
      <c r="BL1" s="4" t="str">
        <f ca="1">"CHE / beta1dist in "&amp;CELL("address",'damages-1990'!$J$33)</f>
        <v>CHE / beta1dist in '[BHM betas v3pd.xlsx]damages-1990'!$J$33</v>
      </c>
      <c r="BM1" s="4" t="str">
        <f ca="1">"CHE / beta2dist in "&amp;CELL("address",'damages-1990'!$K$33)</f>
        <v>CHE / beta2dist in '[BHM betas v3pd.xlsx]damages-1990'!$K$33</v>
      </c>
      <c r="BN1" s="4" t="str">
        <f ca="1">"CHL / beta1dist in "&amp;CELL("address",'damages-1990'!$J$34)</f>
        <v>CHL / beta1dist in '[BHM betas v3pd.xlsx]damages-1990'!$J$34</v>
      </c>
      <c r="BO1" s="4" t="str">
        <f ca="1">"CHL / beta2dist in "&amp;CELL("address",'damages-1990'!$K$34)</f>
        <v>CHL / beta2dist in '[BHM betas v3pd.xlsx]damages-1990'!$K$34</v>
      </c>
      <c r="BP1" s="4" t="str">
        <f ca="1">"CHN / beta1dist in "&amp;CELL("address",'damages-1990'!$J$35)</f>
        <v>CHN / beta1dist in '[BHM betas v3pd.xlsx]damages-1990'!$J$35</v>
      </c>
      <c r="BQ1" s="4" t="str">
        <f ca="1">"CHN / beta2dist in "&amp;CELL("address",'damages-1990'!$K$35)</f>
        <v>CHN / beta2dist in '[BHM betas v3pd.xlsx]damages-1990'!$K$35</v>
      </c>
      <c r="BR1" s="4" t="str">
        <f ca="1">"CIV / beta1dist in "&amp;CELL("address",'damages-1990'!$J$36)</f>
        <v>CIV / beta1dist in '[BHM betas v3pd.xlsx]damages-1990'!$J$36</v>
      </c>
      <c r="BS1" s="4" t="str">
        <f ca="1">"CIV / beta2dist in "&amp;CELL("address",'damages-1990'!$K$36)</f>
        <v>CIV / beta2dist in '[BHM betas v3pd.xlsx]damages-1990'!$K$36</v>
      </c>
      <c r="BT1" s="4" t="str">
        <f ca="1">"CMR / beta1dist in "&amp;CELL("address",'damages-1990'!$J$37)</f>
        <v>CMR / beta1dist in '[BHM betas v3pd.xlsx]damages-1990'!$J$37</v>
      </c>
      <c r="BU1" s="4" t="str">
        <f ca="1">"CMR / beta2dist in "&amp;CELL("address",'damages-1990'!$K$37)</f>
        <v>CMR / beta2dist in '[BHM betas v3pd.xlsx]damages-1990'!$K$37</v>
      </c>
      <c r="BV1" s="4" t="str">
        <f ca="1">"COD / beta1dist in "&amp;CELL("address",'damages-1990'!$J$38)</f>
        <v>COD / beta1dist in '[BHM betas v3pd.xlsx]damages-1990'!$J$38</v>
      </c>
      <c r="BW1" s="4" t="str">
        <f ca="1">"COD / beta2dist in "&amp;CELL("address",'damages-1990'!$K$38)</f>
        <v>COD / beta2dist in '[BHM betas v3pd.xlsx]damages-1990'!$K$38</v>
      </c>
      <c r="BX1" s="4" t="str">
        <f ca="1">"COG / beta1dist in "&amp;CELL("address",'damages-1990'!$J$39)</f>
        <v>COG / beta1dist in '[BHM betas v3pd.xlsx]damages-1990'!$J$39</v>
      </c>
      <c r="BY1" s="4" t="str">
        <f ca="1">"COG / beta2dist in "&amp;CELL("address",'damages-1990'!$K$39)</f>
        <v>COG / beta2dist in '[BHM betas v3pd.xlsx]damages-1990'!$K$39</v>
      </c>
      <c r="BZ1" s="4" t="str">
        <f ca="1">"COL / beta1dist in "&amp;CELL("address",'damages-1990'!$J$40)</f>
        <v>COL / beta1dist in '[BHM betas v3pd.xlsx]damages-1990'!$J$40</v>
      </c>
      <c r="CA1" s="4" t="str">
        <f ca="1">"COL / beta2dist in "&amp;CELL("address",'damages-1990'!$K$40)</f>
        <v>COL / beta2dist in '[BHM betas v3pd.xlsx]damages-1990'!$K$40</v>
      </c>
      <c r="CB1" s="4" t="str">
        <f ca="1">"COM / beta1dist in "&amp;CELL("address",'damages-1990'!$J$41)</f>
        <v>COM / beta1dist in '[BHM betas v3pd.xlsx]damages-1990'!$J$41</v>
      </c>
      <c r="CC1" s="4" t="str">
        <f ca="1">"COM / beta2dist in "&amp;CELL("address",'damages-1990'!$K$41)</f>
        <v>COM / beta2dist in '[BHM betas v3pd.xlsx]damages-1990'!$K$41</v>
      </c>
      <c r="CD1" s="4" t="str">
        <f ca="1">"CPV / beta1dist in "&amp;CELL("address",'damages-1990'!$J$42)</f>
        <v>CPV / beta1dist in '[BHM betas v3pd.xlsx]damages-1990'!$J$42</v>
      </c>
      <c r="CE1" s="4" t="str">
        <f ca="1">"CPV / beta2dist in "&amp;CELL("address",'damages-1990'!$K$42)</f>
        <v>CPV / beta2dist in '[BHM betas v3pd.xlsx]damages-1990'!$K$42</v>
      </c>
      <c r="CF1" s="4" t="str">
        <f ca="1">"CRI / beta1dist in "&amp;CELL("address",'damages-1990'!$J$43)</f>
        <v>CRI / beta1dist in '[BHM betas v3pd.xlsx]damages-1990'!$J$43</v>
      </c>
      <c r="CG1" s="4" t="str">
        <f ca="1">"CRI / beta2dist in "&amp;CELL("address",'damages-1990'!$K$43)</f>
        <v>CRI / beta2dist in '[BHM betas v3pd.xlsx]damages-1990'!$K$43</v>
      </c>
      <c r="CH1" s="4" t="str">
        <f ca="1">"CUB / beta1dist in "&amp;CELL("address",'damages-1990'!$J$44)</f>
        <v>CUB / beta1dist in '[BHM betas v3pd.xlsx]damages-1990'!$J$44</v>
      </c>
      <c r="CI1" s="4" t="str">
        <f ca="1">"CUB / beta2dist in "&amp;CELL("address",'damages-1990'!$K$44)</f>
        <v>CUB / beta2dist in '[BHM betas v3pd.xlsx]damages-1990'!$K$44</v>
      </c>
      <c r="CJ1" s="4" t="str">
        <f ca="1">"CYP / beta1dist in "&amp;CELL("address",'damages-1990'!$J$45)</f>
        <v>CYP / beta1dist in '[BHM betas v3pd.xlsx]damages-1990'!$J$45</v>
      </c>
      <c r="CK1" s="4" t="str">
        <f ca="1">"CYP / beta2dist in "&amp;CELL("address",'damages-1990'!$K$45)</f>
        <v>CYP / beta2dist in '[BHM betas v3pd.xlsx]damages-1990'!$K$45</v>
      </c>
      <c r="CL1" s="4" t="str">
        <f ca="1">"CZE / beta1dist in "&amp;CELL("address",'damages-1990'!$J$46)</f>
        <v>CZE / beta1dist in '[BHM betas v3pd.xlsx]damages-1990'!$J$46</v>
      </c>
      <c r="CM1" s="4" t="str">
        <f ca="1">"CZE / beta2dist in "&amp;CELL("address",'damages-1990'!$K$46)</f>
        <v>CZE / beta2dist in '[BHM betas v3pd.xlsx]damages-1990'!$K$46</v>
      </c>
      <c r="CN1" s="4" t="str">
        <f ca="1">"DEU / beta1dist in "&amp;CELL("address",'damages-1990'!$J$47)</f>
        <v>DEU / beta1dist in '[BHM betas v3pd.xlsx]damages-1990'!$J$47</v>
      </c>
      <c r="CO1" s="4" t="str">
        <f ca="1">"DEU / beta2dist in "&amp;CELL("address",'damages-1990'!$K$47)</f>
        <v>DEU / beta2dist in '[BHM betas v3pd.xlsx]damages-1990'!$K$47</v>
      </c>
      <c r="CP1" s="4" t="str">
        <f ca="1">"DJI / beta1dist in "&amp;CELL("address",'damages-1990'!$J$48)</f>
        <v>DJI / beta1dist in '[BHM betas v3pd.xlsx]damages-1990'!$J$48</v>
      </c>
      <c r="CQ1" s="4" t="str">
        <f ca="1">"DJI / beta2dist in "&amp;CELL("address",'damages-1990'!$K$48)</f>
        <v>DJI / beta2dist in '[BHM betas v3pd.xlsx]damages-1990'!$K$48</v>
      </c>
      <c r="CR1" s="4" t="str">
        <f ca="1">"DMA / beta1dist in "&amp;CELL("address",'damages-1990'!$J$49)</f>
        <v>DMA / beta1dist in '[BHM betas v3pd.xlsx]damages-1990'!$J$49</v>
      </c>
      <c r="CS1" s="4" t="str">
        <f ca="1">"DMA / beta2dist in "&amp;CELL("address",'damages-1990'!$K$49)</f>
        <v>DMA / beta2dist in '[BHM betas v3pd.xlsx]damages-1990'!$K$49</v>
      </c>
      <c r="CT1" s="4" t="str">
        <f ca="1">"DNK / beta1dist in "&amp;CELL("address",'damages-1990'!$J$50)</f>
        <v>DNK / beta1dist in '[BHM betas v3pd.xlsx]damages-1990'!$J$50</v>
      </c>
      <c r="CU1" s="4" t="str">
        <f ca="1">"DNK / beta2dist in "&amp;CELL("address",'damages-1990'!$K$50)</f>
        <v>DNK / beta2dist in '[BHM betas v3pd.xlsx]damages-1990'!$K$50</v>
      </c>
      <c r="CV1" s="4" t="str">
        <f ca="1">"DOM / beta1dist in "&amp;CELL("address",'damages-1990'!$J$51)</f>
        <v>DOM / beta1dist in '[BHM betas v3pd.xlsx]damages-1990'!$J$51</v>
      </c>
      <c r="CW1" s="4" t="str">
        <f ca="1">"DOM / beta2dist in "&amp;CELL("address",'damages-1990'!$K$51)</f>
        <v>DOM / beta2dist in '[BHM betas v3pd.xlsx]damages-1990'!$K$51</v>
      </c>
      <c r="CX1" s="4" t="str">
        <f ca="1">"DZA / beta1dist in "&amp;CELL("address",'damages-1990'!$J$52)</f>
        <v>DZA / beta1dist in '[BHM betas v3pd.xlsx]damages-1990'!$J$52</v>
      </c>
      <c r="CY1" s="4" t="str">
        <f ca="1">"DZA / beta2dist in "&amp;CELL("address",'damages-1990'!$K$52)</f>
        <v>DZA / beta2dist in '[BHM betas v3pd.xlsx]damages-1990'!$K$52</v>
      </c>
      <c r="CZ1" s="4" t="str">
        <f ca="1">"ECU / beta1dist in "&amp;CELL("address",'damages-1990'!$J$53)</f>
        <v>ECU / beta1dist in '[BHM betas v3pd.xlsx]damages-1990'!$J$53</v>
      </c>
      <c r="DA1" s="4" t="str">
        <f ca="1">"ECU / beta2dist in "&amp;CELL("address",'damages-1990'!$K$53)</f>
        <v>ECU / beta2dist in '[BHM betas v3pd.xlsx]damages-1990'!$K$53</v>
      </c>
      <c r="DB1" s="4" t="str">
        <f ca="1">"EGY / beta1dist in "&amp;CELL("address",'damages-1990'!$J$54)</f>
        <v>EGY / beta1dist in '[BHM betas v3pd.xlsx]damages-1990'!$J$54</v>
      </c>
      <c r="DC1" s="4" t="str">
        <f ca="1">"EGY / beta2dist in "&amp;CELL("address",'damages-1990'!$K$54)</f>
        <v>EGY / beta2dist in '[BHM betas v3pd.xlsx]damages-1990'!$K$54</v>
      </c>
      <c r="DD1" s="4" t="str">
        <f ca="1">"ERI / beta1dist in "&amp;CELL("address",'damages-1990'!$J$55)</f>
        <v>ERI / beta1dist in '[BHM betas v3pd.xlsx]damages-1990'!$J$55</v>
      </c>
      <c r="DE1" s="4" t="str">
        <f ca="1">"ERI / beta2dist in "&amp;CELL("address",'damages-1990'!$K$55)</f>
        <v>ERI / beta2dist in '[BHM betas v3pd.xlsx]damages-1990'!$K$55</v>
      </c>
      <c r="DF1" s="4" t="str">
        <f ca="1">"ESH / beta1dist in "&amp;CELL("address",'damages-1990'!$J$56)</f>
        <v>ESH / beta1dist in '[BHM betas v3pd.xlsx]damages-1990'!$J$56</v>
      </c>
      <c r="DG1" s="4" t="str">
        <f ca="1">"ESH / beta2dist in "&amp;CELL("address",'damages-1990'!$K$56)</f>
        <v>ESH / beta2dist in '[BHM betas v3pd.xlsx]damages-1990'!$K$56</v>
      </c>
      <c r="DH1" s="4" t="str">
        <f ca="1">"ESP / beta1dist in "&amp;CELL("address",'damages-1990'!$J$57)</f>
        <v>ESP / beta1dist in '[BHM betas v3pd.xlsx]damages-1990'!$J$57</v>
      </c>
      <c r="DI1" s="4" t="str">
        <f ca="1">"ESP / beta2dist in "&amp;CELL("address",'damages-1990'!$K$57)</f>
        <v>ESP / beta2dist in '[BHM betas v3pd.xlsx]damages-1990'!$K$57</v>
      </c>
      <c r="DJ1" s="4" t="str">
        <f ca="1">"EST / beta1dist in "&amp;CELL("address",'damages-1990'!$J$58)</f>
        <v>EST / beta1dist in '[BHM betas v3pd.xlsx]damages-1990'!$J$58</v>
      </c>
      <c r="DK1" s="4" t="str">
        <f ca="1">"EST / beta2dist in "&amp;CELL("address",'damages-1990'!$K$58)</f>
        <v>EST / beta2dist in '[BHM betas v3pd.xlsx]damages-1990'!$K$58</v>
      </c>
      <c r="DL1" s="4" t="str">
        <f ca="1">"ETH / beta1dist in "&amp;CELL("address",'damages-1990'!$J$59)</f>
        <v>ETH / beta1dist in '[BHM betas v3pd.xlsx]damages-1990'!$J$59</v>
      </c>
      <c r="DM1" s="4" t="str">
        <f ca="1">"ETH / beta2dist in "&amp;CELL("address",'damages-1990'!$K$59)</f>
        <v>ETH / beta2dist in '[BHM betas v3pd.xlsx]damages-1990'!$K$59</v>
      </c>
      <c r="DN1" s="4" t="str">
        <f ca="1">"FIN / beta1dist in "&amp;CELL("address",'damages-1990'!$J$60)</f>
        <v>FIN / beta1dist in '[BHM betas v3pd.xlsx]damages-1990'!$J$60</v>
      </c>
      <c r="DO1" s="4" t="str">
        <f ca="1">"FIN / beta2dist in "&amp;CELL("address",'damages-1990'!$K$60)</f>
        <v>FIN / beta2dist in '[BHM betas v3pd.xlsx]damages-1990'!$K$60</v>
      </c>
      <c r="DP1" s="4" t="str">
        <f ca="1">"FJI / beta1dist in "&amp;CELL("address",'damages-1990'!$J$61)</f>
        <v>FJI / beta1dist in '[BHM betas v3pd.xlsx]damages-1990'!$J$61</v>
      </c>
      <c r="DQ1" s="4" t="str">
        <f ca="1">"FJI / beta2dist in "&amp;CELL("address",'damages-1990'!$K$61)</f>
        <v>FJI / beta2dist in '[BHM betas v3pd.xlsx]damages-1990'!$K$61</v>
      </c>
      <c r="DR1" s="4" t="str">
        <f ca="1">"FRA / beta1dist in "&amp;CELL("address",'damages-1990'!$J$62)</f>
        <v>FRA / beta1dist in '[BHM betas v3pd.xlsx]damages-1990'!$J$62</v>
      </c>
      <c r="DS1" s="4" t="str">
        <f ca="1">"FRA / beta2dist in "&amp;CELL("address",'damages-1990'!$K$62)</f>
        <v>FRA / beta2dist in '[BHM betas v3pd.xlsx]damages-1990'!$K$62</v>
      </c>
      <c r="DT1" s="4" t="str">
        <f ca="1">"FSM / beta1dist in "&amp;CELL("address",'damages-1990'!$J$63)</f>
        <v>FSM / beta1dist in '[BHM betas v3pd.xlsx]damages-1990'!$J$63</v>
      </c>
      <c r="DU1" s="4" t="str">
        <f ca="1">"FSM / beta2dist in "&amp;CELL("address",'damages-1990'!$K$63)</f>
        <v>FSM / beta2dist in '[BHM betas v3pd.xlsx]damages-1990'!$K$63</v>
      </c>
      <c r="DV1" s="4" t="str">
        <f ca="1">"GAB / beta1dist in "&amp;CELL("address",'damages-1990'!$J$64)</f>
        <v>GAB / beta1dist in '[BHM betas v3pd.xlsx]damages-1990'!$J$64</v>
      </c>
      <c r="DW1" s="4" t="str">
        <f ca="1">"GAB / beta2dist in "&amp;CELL("address",'damages-1990'!$K$64)</f>
        <v>GAB / beta2dist in '[BHM betas v3pd.xlsx]damages-1990'!$K$64</v>
      </c>
      <c r="DX1" s="4" t="str">
        <f ca="1">"GBR / beta1dist in "&amp;CELL("address",'damages-1990'!$J$65)</f>
        <v>GBR / beta1dist in '[BHM betas v3pd.xlsx]damages-1990'!$J$65</v>
      </c>
      <c r="DY1" s="4" t="str">
        <f ca="1">"GBR / beta2dist in "&amp;CELL("address",'damages-1990'!$K$65)</f>
        <v>GBR / beta2dist in '[BHM betas v3pd.xlsx]damages-1990'!$K$65</v>
      </c>
      <c r="DZ1" s="4" t="str">
        <f ca="1">"GEO / beta1dist in "&amp;CELL("address",'damages-1990'!$J$66)</f>
        <v>GEO / beta1dist in '[BHM betas v3pd.xlsx]damages-1990'!$J$66</v>
      </c>
      <c r="EA1" s="4" t="str">
        <f ca="1">"GEO / beta2dist in "&amp;CELL("address",'damages-1990'!$K$66)</f>
        <v>GEO / beta2dist in '[BHM betas v3pd.xlsx]damages-1990'!$K$66</v>
      </c>
      <c r="EB1" s="4" t="str">
        <f ca="1">"GHA / beta1dist in "&amp;CELL("address",'damages-1990'!$J$67)</f>
        <v>GHA / beta1dist in '[BHM betas v3pd.xlsx]damages-1990'!$J$67</v>
      </c>
      <c r="EC1" s="4" t="str">
        <f ca="1">"GHA / beta2dist in "&amp;CELL("address",'damages-1990'!$K$67)</f>
        <v>GHA / beta2dist in '[BHM betas v3pd.xlsx]damages-1990'!$K$67</v>
      </c>
      <c r="ED1" s="4" t="str">
        <f ca="1">"GIN / beta1dist in "&amp;CELL("address",'damages-1990'!$J$68)</f>
        <v>GIN / beta1dist in '[BHM betas v3pd.xlsx]damages-1990'!$J$68</v>
      </c>
      <c r="EE1" s="4" t="str">
        <f ca="1">"GIN / beta2dist in "&amp;CELL("address",'damages-1990'!$K$68)</f>
        <v>GIN / beta2dist in '[BHM betas v3pd.xlsx]damages-1990'!$K$68</v>
      </c>
      <c r="EF1" s="4" t="str">
        <f ca="1">"GLP / beta1dist in "&amp;CELL("address",'damages-1990'!$J$69)</f>
        <v>GLP / beta1dist in '[BHM betas v3pd.xlsx]damages-1990'!$J$69</v>
      </c>
      <c r="EG1" s="4" t="str">
        <f ca="1">"GLP / beta2dist in "&amp;CELL("address",'damages-1990'!$K$69)</f>
        <v>GLP / beta2dist in '[BHM betas v3pd.xlsx]damages-1990'!$K$69</v>
      </c>
      <c r="EH1" s="4" t="str">
        <f ca="1">"GMB / beta1dist in "&amp;CELL("address",'damages-1990'!$J$70)</f>
        <v>GMB / beta1dist in '[BHM betas v3pd.xlsx]damages-1990'!$J$70</v>
      </c>
      <c r="EI1" s="4" t="str">
        <f ca="1">"GMB / beta2dist in "&amp;CELL("address",'damages-1990'!$K$70)</f>
        <v>GMB / beta2dist in '[BHM betas v3pd.xlsx]damages-1990'!$K$70</v>
      </c>
      <c r="EJ1" s="4" t="str">
        <f ca="1">"GNB / beta1dist in "&amp;CELL("address",'damages-1990'!$J$71)</f>
        <v>GNB / beta1dist in '[BHM betas v3pd.xlsx]damages-1990'!$J$71</v>
      </c>
      <c r="EK1" s="4" t="str">
        <f ca="1">"GNB / beta2dist in "&amp;CELL("address",'damages-1990'!$K$71)</f>
        <v>GNB / beta2dist in '[BHM betas v3pd.xlsx]damages-1990'!$K$71</v>
      </c>
      <c r="EL1" s="4" t="str">
        <f ca="1">"GNQ / beta1dist in "&amp;CELL("address",'damages-1990'!$J$72)</f>
        <v>GNQ / beta1dist in '[BHM betas v3pd.xlsx]damages-1990'!$J$72</v>
      </c>
      <c r="EM1" s="4" t="str">
        <f ca="1">"GNQ / beta2dist in "&amp;CELL("address",'damages-1990'!$K$72)</f>
        <v>GNQ / beta2dist in '[BHM betas v3pd.xlsx]damages-1990'!$K$72</v>
      </c>
      <c r="EN1" s="4" t="str">
        <f ca="1">"GRC / beta1dist in "&amp;CELL("address",'damages-1990'!$J$73)</f>
        <v>GRC / beta1dist in '[BHM betas v3pd.xlsx]damages-1990'!$J$73</v>
      </c>
      <c r="EO1" s="4" t="str">
        <f ca="1">"GRC / beta2dist in "&amp;CELL("address",'damages-1990'!$K$73)</f>
        <v>GRC / beta2dist in '[BHM betas v3pd.xlsx]damages-1990'!$K$73</v>
      </c>
      <c r="EP1" s="4" t="str">
        <f ca="1">"GRD / beta1dist in "&amp;CELL("address",'damages-1990'!$J$74)</f>
        <v>GRD / beta1dist in '[BHM betas v3pd.xlsx]damages-1990'!$J$74</v>
      </c>
      <c r="EQ1" s="4" t="str">
        <f ca="1">"GRD / beta2dist in "&amp;CELL("address",'damages-1990'!$K$74)</f>
        <v>GRD / beta2dist in '[BHM betas v3pd.xlsx]damages-1990'!$K$74</v>
      </c>
      <c r="ER1" s="4" t="str">
        <f ca="1">"GTM / beta1dist in "&amp;CELL("address",'damages-1990'!$J$75)</f>
        <v>GTM / beta1dist in '[BHM betas v3pd.xlsx]damages-1990'!$J$75</v>
      </c>
      <c r="ES1" s="4" t="str">
        <f ca="1">"GTM / beta2dist in "&amp;CELL("address",'damages-1990'!$K$75)</f>
        <v>GTM / beta2dist in '[BHM betas v3pd.xlsx]damages-1990'!$K$75</v>
      </c>
      <c r="ET1" s="4" t="str">
        <f ca="1">"GUF / beta1dist in "&amp;CELL("address",'damages-1990'!$J$76)</f>
        <v>GUF / beta1dist in '[BHM betas v3pd.xlsx]damages-1990'!$J$76</v>
      </c>
      <c r="EU1" s="4" t="str">
        <f ca="1">"GUF / beta2dist in "&amp;CELL("address",'damages-1990'!$K$76)</f>
        <v>GUF / beta2dist in '[BHM betas v3pd.xlsx]damages-1990'!$K$76</v>
      </c>
      <c r="EV1" s="4" t="str">
        <f ca="1">"GUY / beta1dist in "&amp;CELL("address",'damages-1990'!$J$77)</f>
        <v>GUY / beta1dist in '[BHM betas v3pd.xlsx]damages-1990'!$J$77</v>
      </c>
      <c r="EW1" s="4" t="str">
        <f ca="1">"GUY / beta2dist in "&amp;CELL("address",'damages-1990'!$K$77)</f>
        <v>GUY / beta2dist in '[BHM betas v3pd.xlsx]damages-1990'!$K$77</v>
      </c>
      <c r="EX1" s="4" t="str">
        <f ca="1">"HKG / beta1dist in "&amp;CELL("address",'damages-1990'!$J$78)</f>
        <v>HKG / beta1dist in '[BHM betas v3pd.xlsx]damages-1990'!$J$78</v>
      </c>
      <c r="EY1" s="4" t="str">
        <f ca="1">"HKG / beta2dist in "&amp;CELL("address",'damages-1990'!$K$78)</f>
        <v>HKG / beta2dist in '[BHM betas v3pd.xlsx]damages-1990'!$K$78</v>
      </c>
      <c r="EZ1" s="4" t="str">
        <f ca="1">"HND / beta1dist in "&amp;CELL("address",'damages-1990'!$J$79)</f>
        <v>HND / beta1dist in '[BHM betas v3pd.xlsx]damages-1990'!$J$79</v>
      </c>
      <c r="FA1" s="4" t="str">
        <f ca="1">"HND / beta2dist in "&amp;CELL("address",'damages-1990'!$K$79)</f>
        <v>HND / beta2dist in '[BHM betas v3pd.xlsx]damages-1990'!$K$79</v>
      </c>
      <c r="FB1" s="4" t="str">
        <f ca="1">"HRV / beta1dist in "&amp;CELL("address",'damages-1990'!$J$80)</f>
        <v>HRV / beta1dist in '[BHM betas v3pd.xlsx]damages-1990'!$J$80</v>
      </c>
      <c r="FC1" s="4" t="str">
        <f ca="1">"HRV / beta2dist in "&amp;CELL("address",'damages-1990'!$K$80)</f>
        <v>HRV / beta2dist in '[BHM betas v3pd.xlsx]damages-1990'!$K$80</v>
      </c>
      <c r="FD1" s="4" t="str">
        <f ca="1">"HTI / beta1dist in "&amp;CELL("address",'damages-1990'!$J$81)</f>
        <v>HTI / beta1dist in '[BHM betas v3pd.xlsx]damages-1990'!$J$81</v>
      </c>
      <c r="FE1" s="4" t="str">
        <f ca="1">"HTI / beta2dist in "&amp;CELL("address",'damages-1990'!$K$81)</f>
        <v>HTI / beta2dist in '[BHM betas v3pd.xlsx]damages-1990'!$K$81</v>
      </c>
      <c r="FF1" s="4" t="str">
        <f ca="1">"HUN / beta1dist in "&amp;CELL("address",'damages-1990'!$J$82)</f>
        <v>HUN / beta1dist in '[BHM betas v3pd.xlsx]damages-1990'!$J$82</v>
      </c>
      <c r="FG1" s="4" t="str">
        <f ca="1">"HUN / beta2dist in "&amp;CELL("address",'damages-1990'!$K$82)</f>
        <v>HUN / beta2dist in '[BHM betas v3pd.xlsx]damages-1990'!$K$82</v>
      </c>
      <c r="FH1" s="4" t="str">
        <f ca="1">"IDN / beta1dist in "&amp;CELL("address",'damages-1990'!$J$83)</f>
        <v>IDN / beta1dist in '[BHM betas v3pd.xlsx]damages-1990'!$J$83</v>
      </c>
      <c r="FI1" s="4" t="str">
        <f ca="1">"IDN / beta2dist in "&amp;CELL("address",'damages-1990'!$K$83)</f>
        <v>IDN / beta2dist in '[BHM betas v3pd.xlsx]damages-1990'!$K$83</v>
      </c>
      <c r="FJ1" s="4" t="str">
        <f ca="1">"IND / beta1dist in "&amp;CELL("address",'damages-1990'!$J$84)</f>
        <v>IND / beta1dist in '[BHM betas v3pd.xlsx]damages-1990'!$J$84</v>
      </c>
      <c r="FK1" s="4" t="str">
        <f ca="1">"IND / beta2dist in "&amp;CELL("address",'damages-1990'!$K$84)</f>
        <v>IND / beta2dist in '[BHM betas v3pd.xlsx]damages-1990'!$K$84</v>
      </c>
      <c r="FL1" s="4" t="str">
        <f ca="1">"IRL / beta1dist in "&amp;CELL("address",'damages-1990'!$J$85)</f>
        <v>IRL / beta1dist in '[BHM betas v3pd.xlsx]damages-1990'!$J$85</v>
      </c>
      <c r="FM1" s="4" t="str">
        <f ca="1">"IRL / beta2dist in "&amp;CELL("address",'damages-1990'!$K$85)</f>
        <v>IRL / beta2dist in '[BHM betas v3pd.xlsx]damages-1990'!$K$85</v>
      </c>
      <c r="FN1" s="4" t="str">
        <f ca="1">"IRN / beta1dist in "&amp;CELL("address",'damages-1990'!$J$86)</f>
        <v>IRN / beta1dist in '[BHM betas v3pd.xlsx]damages-1990'!$J$86</v>
      </c>
      <c r="FO1" s="4" t="str">
        <f ca="1">"IRN / beta2dist in "&amp;CELL("address",'damages-1990'!$K$86)</f>
        <v>IRN / beta2dist in '[BHM betas v3pd.xlsx]damages-1990'!$K$86</v>
      </c>
      <c r="FP1" s="4" t="str">
        <f ca="1">"IRQ / beta1dist in "&amp;CELL("address",'damages-1990'!$J$87)</f>
        <v>IRQ / beta1dist in '[BHM betas v3pd.xlsx]damages-1990'!$J$87</v>
      </c>
      <c r="FQ1" s="4" t="str">
        <f ca="1">"IRQ / beta2dist in "&amp;CELL("address",'damages-1990'!$K$87)</f>
        <v>IRQ / beta2dist in '[BHM betas v3pd.xlsx]damages-1990'!$K$87</v>
      </c>
      <c r="FR1" s="4" t="str">
        <f ca="1">"ISL / beta1dist in "&amp;CELL("address",'damages-1990'!$J$88)</f>
        <v>ISL / beta1dist in '[BHM betas v3pd.xlsx]damages-1990'!$J$88</v>
      </c>
      <c r="FS1" s="4" t="str">
        <f ca="1">"ISL / beta2dist in "&amp;CELL("address",'damages-1990'!$K$88)</f>
        <v>ISL / beta2dist in '[BHM betas v3pd.xlsx]damages-1990'!$K$88</v>
      </c>
      <c r="FT1" s="4" t="str">
        <f ca="1">"ISR / beta1dist in "&amp;CELL("address",'damages-1990'!$J$89)</f>
        <v>ISR / beta1dist in '[BHM betas v3pd.xlsx]damages-1990'!$J$89</v>
      </c>
      <c r="FU1" s="4" t="str">
        <f ca="1">"ISR / beta2dist in "&amp;CELL("address",'damages-1990'!$K$89)</f>
        <v>ISR / beta2dist in '[BHM betas v3pd.xlsx]damages-1990'!$K$89</v>
      </c>
      <c r="FV1" s="4" t="str">
        <f ca="1">"ITA / beta1dist in "&amp;CELL("address",'damages-1990'!$J$90)</f>
        <v>ITA / beta1dist in '[BHM betas v3pd.xlsx]damages-1990'!$J$90</v>
      </c>
      <c r="FW1" s="4" t="str">
        <f ca="1">"ITA / beta2dist in "&amp;CELL("address",'damages-1990'!$K$90)</f>
        <v>ITA / beta2dist in '[BHM betas v3pd.xlsx]damages-1990'!$K$90</v>
      </c>
      <c r="FX1" s="4" t="str">
        <f ca="1">"JAM / beta1dist in "&amp;CELL("address",'damages-1990'!$J$91)</f>
        <v>JAM / beta1dist in '[BHM betas v3pd.xlsx]damages-1990'!$J$91</v>
      </c>
      <c r="FY1" s="4" t="str">
        <f ca="1">"JAM / beta2dist in "&amp;CELL("address",'damages-1990'!$K$91)</f>
        <v>JAM / beta2dist in '[BHM betas v3pd.xlsx]damages-1990'!$K$91</v>
      </c>
      <c r="FZ1" s="4" t="str">
        <f ca="1">"JOR / beta1dist in "&amp;CELL("address",'damages-1990'!$J$92)</f>
        <v>JOR / beta1dist in '[BHM betas v3pd.xlsx]damages-1990'!$J$92</v>
      </c>
      <c r="GA1" s="4" t="str">
        <f ca="1">"JOR / beta2dist in "&amp;CELL("address",'damages-1990'!$K$92)</f>
        <v>JOR / beta2dist in '[BHM betas v3pd.xlsx]damages-1990'!$K$92</v>
      </c>
      <c r="GB1" s="4" t="str">
        <f ca="1">"JPN / beta1dist in "&amp;CELL("address",'damages-1990'!$J$93)</f>
        <v>JPN / beta1dist in '[BHM betas v3pd.xlsx]damages-1990'!$J$93</v>
      </c>
      <c r="GC1" s="4" t="str">
        <f ca="1">"JPN / beta2dist in "&amp;CELL("address",'damages-1990'!$K$93)</f>
        <v>JPN / beta2dist in '[BHM betas v3pd.xlsx]damages-1990'!$K$93</v>
      </c>
      <c r="GD1" s="4" t="str">
        <f ca="1">"KAZ / beta1dist in "&amp;CELL("address",'damages-1990'!$J$94)</f>
        <v>KAZ / beta1dist in '[BHM betas v3pd.xlsx]damages-1990'!$J$94</v>
      </c>
      <c r="GE1" s="4" t="str">
        <f ca="1">"KAZ / beta2dist in "&amp;CELL("address",'damages-1990'!$K$94)</f>
        <v>KAZ / beta2dist in '[BHM betas v3pd.xlsx]damages-1990'!$K$94</v>
      </c>
      <c r="GF1" s="4" t="str">
        <f ca="1">"KEN / beta1dist in "&amp;CELL("address",'damages-1990'!$J$95)</f>
        <v>KEN / beta1dist in '[BHM betas v3pd.xlsx]damages-1990'!$J$95</v>
      </c>
      <c r="GG1" s="4" t="str">
        <f ca="1">"KEN / beta2dist in "&amp;CELL("address",'damages-1990'!$K$95)</f>
        <v>KEN / beta2dist in '[BHM betas v3pd.xlsx]damages-1990'!$K$95</v>
      </c>
      <c r="GH1" s="4" t="str">
        <f ca="1">"KGZ / beta1dist in "&amp;CELL("address",'damages-1990'!$J$96)</f>
        <v>KGZ / beta1dist in '[BHM betas v3pd.xlsx]damages-1990'!$J$96</v>
      </c>
      <c r="GI1" s="4" t="str">
        <f ca="1">"KGZ / beta2dist in "&amp;CELL("address",'damages-1990'!$K$96)</f>
        <v>KGZ / beta2dist in '[BHM betas v3pd.xlsx]damages-1990'!$K$96</v>
      </c>
      <c r="GJ1" s="4" t="str">
        <f ca="1">"KHM / beta1dist in "&amp;CELL("address",'damages-1990'!$J$97)</f>
        <v>KHM / beta1dist in '[BHM betas v3pd.xlsx]damages-1990'!$J$97</v>
      </c>
      <c r="GK1" s="4" t="str">
        <f ca="1">"KHM / beta2dist in "&amp;CELL("address",'damages-1990'!$K$97)</f>
        <v>KHM / beta2dist in '[BHM betas v3pd.xlsx]damages-1990'!$K$97</v>
      </c>
      <c r="GL1" s="4" t="str">
        <f ca="1">"KNA / beta1dist in "&amp;CELL("address",'damages-1990'!$J$98)</f>
        <v>KNA / beta1dist in '[BHM betas v3pd.xlsx]damages-1990'!$J$98</v>
      </c>
      <c r="GM1" s="4" t="str">
        <f ca="1">"KNA / beta2dist in "&amp;CELL("address",'damages-1990'!$K$98)</f>
        <v>KNA / beta2dist in '[BHM betas v3pd.xlsx]damages-1990'!$K$98</v>
      </c>
      <c r="GN1" s="4" t="str">
        <f ca="1">"KOR / beta1dist in "&amp;CELL("address",'damages-1990'!$J$99)</f>
        <v>KOR / beta1dist in '[BHM betas v3pd.xlsx]damages-1990'!$J$99</v>
      </c>
      <c r="GO1" s="4" t="str">
        <f ca="1">"KOR / beta2dist in "&amp;CELL("address",'damages-1990'!$K$99)</f>
        <v>KOR / beta2dist in '[BHM betas v3pd.xlsx]damages-1990'!$K$99</v>
      </c>
      <c r="GP1" s="4" t="str">
        <f ca="1">"KWT / beta1dist in "&amp;CELL("address",'damages-1990'!$J$100)</f>
        <v>KWT / beta1dist in '[BHM betas v3pd.xlsx]damages-1990'!$J$100</v>
      </c>
      <c r="GQ1" s="4" t="str">
        <f ca="1">"KWT / beta2dist in "&amp;CELL("address",'damages-1990'!$K$100)</f>
        <v>KWT / beta2dist in '[BHM betas v3pd.xlsx]damages-1990'!$K$100</v>
      </c>
      <c r="GR1" s="4" t="str">
        <f ca="1">"LAO / beta1dist in "&amp;CELL("address",'damages-1990'!$J$101)</f>
        <v>LAO / beta1dist in '[BHM betas v3pd.xlsx]damages-1990'!$J$101</v>
      </c>
      <c r="GS1" s="4" t="str">
        <f ca="1">"LAO / beta2dist in "&amp;CELL("address",'damages-1990'!$K$101)</f>
        <v>LAO / beta2dist in '[BHM betas v3pd.xlsx]damages-1990'!$K$101</v>
      </c>
      <c r="GT1" s="4" t="str">
        <f ca="1">"LBN / beta1dist in "&amp;CELL("address",'damages-1990'!$J$102)</f>
        <v>LBN / beta1dist in '[BHM betas v3pd.xlsx]damages-1990'!$J$102</v>
      </c>
      <c r="GU1" s="4" t="str">
        <f ca="1">"LBN / beta2dist in "&amp;CELL("address",'damages-1990'!$K$102)</f>
        <v>LBN / beta2dist in '[BHM betas v3pd.xlsx]damages-1990'!$K$102</v>
      </c>
      <c r="GV1" s="4" t="str">
        <f ca="1">"LBR / beta1dist in "&amp;CELL("address",'damages-1990'!$J$103)</f>
        <v>LBR / beta1dist in '[BHM betas v3pd.xlsx]damages-1990'!$J$103</v>
      </c>
      <c r="GW1" s="4" t="str">
        <f ca="1">"LBR / beta2dist in "&amp;CELL("address",'damages-1990'!$K$103)</f>
        <v>LBR / beta2dist in '[BHM betas v3pd.xlsx]damages-1990'!$K$103</v>
      </c>
      <c r="GX1" s="4" t="str">
        <f ca="1">"LBY / beta1dist in "&amp;CELL("address",'damages-1990'!$J$104)</f>
        <v>LBY / beta1dist in '[BHM betas v3pd.xlsx]damages-1990'!$J$104</v>
      </c>
      <c r="GY1" s="4" t="str">
        <f ca="1">"LBY / beta2dist in "&amp;CELL("address",'damages-1990'!$K$104)</f>
        <v>LBY / beta2dist in '[BHM betas v3pd.xlsx]damages-1990'!$K$104</v>
      </c>
      <c r="GZ1" s="4" t="str">
        <f ca="1">"LIE / beta1dist in "&amp;CELL("address",'damages-1990'!$J$105)</f>
        <v>LIE / beta1dist in '[BHM betas v3pd.xlsx]damages-1990'!$J$105</v>
      </c>
      <c r="HA1" s="4" t="str">
        <f ca="1">"LIE / beta2dist in "&amp;CELL("address",'damages-1990'!$K$105)</f>
        <v>LIE / beta2dist in '[BHM betas v3pd.xlsx]damages-1990'!$K$105</v>
      </c>
      <c r="HB1" s="4" t="str">
        <f ca="1">"LKA / beta1dist in "&amp;CELL("address",'damages-1990'!$J$106)</f>
        <v>LKA / beta1dist in '[BHM betas v3pd.xlsx]damages-1990'!$J$106</v>
      </c>
      <c r="HC1" s="4" t="str">
        <f ca="1">"LKA / beta2dist in "&amp;CELL("address",'damages-1990'!$K$106)</f>
        <v>LKA / beta2dist in '[BHM betas v3pd.xlsx]damages-1990'!$K$106</v>
      </c>
      <c r="HD1" s="4" t="str">
        <f ca="1">"LSO / beta1dist in "&amp;CELL("address",'damages-1990'!$J$107)</f>
        <v>LSO / beta1dist in '[BHM betas v3pd.xlsx]damages-1990'!$J$107</v>
      </c>
      <c r="HE1" s="4" t="str">
        <f ca="1">"LSO / beta2dist in "&amp;CELL("address",'damages-1990'!$K$107)</f>
        <v>LSO / beta2dist in '[BHM betas v3pd.xlsx]damages-1990'!$K$107</v>
      </c>
      <c r="HF1" s="4" t="str">
        <f ca="1">"LTU / beta1dist in "&amp;CELL("address",'damages-1990'!$J$108)</f>
        <v>LTU / beta1dist in '[BHM betas v3pd.xlsx]damages-1990'!$J$108</v>
      </c>
      <c r="HG1" s="4" t="str">
        <f ca="1">"LTU / beta2dist in "&amp;CELL("address",'damages-1990'!$K$108)</f>
        <v>LTU / beta2dist in '[BHM betas v3pd.xlsx]damages-1990'!$K$108</v>
      </c>
      <c r="HH1" s="4" t="str">
        <f ca="1">"LUX / beta1dist in "&amp;CELL("address",'damages-1990'!$J$109)</f>
        <v>LUX / beta1dist in '[BHM betas v3pd.xlsx]damages-1990'!$J$109</v>
      </c>
      <c r="HI1" s="4" t="str">
        <f ca="1">"LUX / beta2dist in "&amp;CELL("address",'damages-1990'!$K$109)</f>
        <v>LUX / beta2dist in '[BHM betas v3pd.xlsx]damages-1990'!$K$109</v>
      </c>
      <c r="HJ1" s="4" t="str">
        <f ca="1">"LVA / beta1dist in "&amp;CELL("address",'damages-1990'!$J$110)</f>
        <v>LVA / beta1dist in '[BHM betas v3pd.xlsx]damages-1990'!$J$110</v>
      </c>
      <c r="HK1" s="4" t="str">
        <f ca="1">"LVA / beta2dist in "&amp;CELL("address",'damages-1990'!$K$110)</f>
        <v>LVA / beta2dist in '[BHM betas v3pd.xlsx]damages-1990'!$K$110</v>
      </c>
      <c r="HL1" s="4" t="str">
        <f ca="1">"MAR / beta1dist in "&amp;CELL("address",'damages-1990'!$J$111)</f>
        <v>MAR / beta1dist in '[BHM betas v3pd.xlsx]damages-1990'!$J$111</v>
      </c>
      <c r="HM1" s="4" t="str">
        <f ca="1">"MAR / beta2dist in "&amp;CELL("address",'damages-1990'!$K$111)</f>
        <v>MAR / beta2dist in '[BHM betas v3pd.xlsx]damages-1990'!$K$111</v>
      </c>
      <c r="HN1" s="4" t="str">
        <f ca="1">"MDA / beta1dist in "&amp;CELL("address",'damages-1990'!$J$112)</f>
        <v>MDA / beta1dist in '[BHM betas v3pd.xlsx]damages-1990'!$J$112</v>
      </c>
      <c r="HO1" s="4" t="str">
        <f ca="1">"MDA / beta2dist in "&amp;CELL("address",'damages-1990'!$K$112)</f>
        <v>MDA / beta2dist in '[BHM betas v3pd.xlsx]damages-1990'!$K$112</v>
      </c>
      <c r="HP1" s="4" t="str">
        <f ca="1">"MDG / beta1dist in "&amp;CELL("address",'damages-1990'!$J$113)</f>
        <v>MDG / beta1dist in '[BHM betas v3pd.xlsx]damages-1990'!$J$113</v>
      </c>
      <c r="HQ1" s="4" t="str">
        <f ca="1">"MDG / beta2dist in "&amp;CELL("address",'damages-1990'!$K$113)</f>
        <v>MDG / beta2dist in '[BHM betas v3pd.xlsx]damages-1990'!$K$113</v>
      </c>
      <c r="HR1" s="4" t="str">
        <f ca="1">"MEX / beta1dist in "&amp;CELL("address",'damages-1990'!$J$114)</f>
        <v>MEX / beta1dist in '[BHM betas v3pd.xlsx]damages-1990'!$J$114</v>
      </c>
      <c r="HS1" s="4" t="str">
        <f ca="1">"MEX / beta2dist in "&amp;CELL("address",'damages-1990'!$K$114)</f>
        <v>MEX / beta2dist in '[BHM betas v3pd.xlsx]damages-1990'!$K$114</v>
      </c>
      <c r="HT1" s="4" t="str">
        <f ca="1">"MKD / beta1dist in "&amp;CELL("address",'damages-1990'!$J$115)</f>
        <v>MKD / beta1dist in '[BHM betas v3pd.xlsx]damages-1990'!$J$115</v>
      </c>
      <c r="HU1" s="4" t="str">
        <f ca="1">"MKD / beta2dist in "&amp;CELL("address",'damages-1990'!$K$115)</f>
        <v>MKD / beta2dist in '[BHM betas v3pd.xlsx]damages-1990'!$K$115</v>
      </c>
      <c r="HV1" s="4" t="str">
        <f ca="1">"MLI / beta1dist in "&amp;CELL("address",'damages-1990'!$J$116)</f>
        <v>MLI / beta1dist in '[BHM betas v3pd.xlsx]damages-1990'!$J$116</v>
      </c>
      <c r="HW1" s="4" t="str">
        <f ca="1">"MLI / beta2dist in "&amp;CELL("address",'damages-1990'!$K$116)</f>
        <v>MLI / beta2dist in '[BHM betas v3pd.xlsx]damages-1990'!$K$116</v>
      </c>
      <c r="HX1" s="4" t="str">
        <f ca="1">"MMR / beta1dist in "&amp;CELL("address",'damages-1990'!$J$117)</f>
        <v>MMR / beta1dist in '[BHM betas v3pd.xlsx]damages-1990'!$J$117</v>
      </c>
      <c r="HY1" s="4" t="str">
        <f ca="1">"MMR / beta2dist in "&amp;CELL("address",'damages-1990'!$K$117)</f>
        <v>MMR / beta2dist in '[BHM betas v3pd.xlsx]damages-1990'!$K$117</v>
      </c>
      <c r="HZ1" s="4" t="str">
        <f ca="1">"MNE / beta1dist in "&amp;CELL("address",'damages-1990'!$J$118)</f>
        <v>MNE / beta1dist in '[BHM betas v3pd.xlsx]damages-1990'!$J$118</v>
      </c>
      <c r="IA1" s="4" t="str">
        <f ca="1">"MNE / beta2dist in "&amp;CELL("address",'damages-1990'!$K$118)</f>
        <v>MNE / beta2dist in '[BHM betas v3pd.xlsx]damages-1990'!$K$118</v>
      </c>
      <c r="IB1" s="4" t="str">
        <f ca="1">"MNG / beta1dist in "&amp;CELL("address",'damages-1990'!$J$119)</f>
        <v>MNG / beta1dist in '[BHM betas v3pd.xlsx]damages-1990'!$J$119</v>
      </c>
      <c r="IC1" s="4" t="str">
        <f ca="1">"MNG / beta2dist in "&amp;CELL("address",'damages-1990'!$K$119)</f>
        <v>MNG / beta2dist in '[BHM betas v3pd.xlsx]damages-1990'!$K$119</v>
      </c>
      <c r="ID1" s="4" t="str">
        <f ca="1">"MOZ / beta1dist in "&amp;CELL("address",'damages-1990'!$J$120)</f>
        <v>MOZ / beta1dist in '[BHM betas v3pd.xlsx]damages-1990'!$J$120</v>
      </c>
      <c r="IE1" s="4" t="str">
        <f ca="1">"MOZ / beta2dist in "&amp;CELL("address",'damages-1990'!$K$120)</f>
        <v>MOZ / beta2dist in '[BHM betas v3pd.xlsx]damages-1990'!$K$120</v>
      </c>
      <c r="IF1" s="4" t="str">
        <f ca="1">"MRT / beta1dist in "&amp;CELL("address",'damages-1990'!$J$121)</f>
        <v>MRT / beta1dist in '[BHM betas v3pd.xlsx]damages-1990'!$J$121</v>
      </c>
      <c r="IG1" s="4" t="str">
        <f ca="1">"MRT / beta2dist in "&amp;CELL("address",'damages-1990'!$K$121)</f>
        <v>MRT / beta2dist in '[BHM betas v3pd.xlsx]damages-1990'!$K$121</v>
      </c>
      <c r="IH1" s="4" t="str">
        <f ca="1">"MTQ / beta1dist in "&amp;CELL("address",'damages-1990'!$J$122)</f>
        <v>MTQ / beta1dist in '[BHM betas v3pd.xlsx]damages-1990'!$J$122</v>
      </c>
      <c r="II1" s="4" t="str">
        <f ca="1">"MTQ / beta2dist in "&amp;CELL("address",'damages-1990'!$K$122)</f>
        <v>MTQ / beta2dist in '[BHM betas v3pd.xlsx]damages-1990'!$K$122</v>
      </c>
      <c r="IJ1" s="4" t="str">
        <f ca="1">"MUS / beta1dist in "&amp;CELL("address",'damages-1990'!$J$123)</f>
        <v>MUS / beta1dist in '[BHM betas v3pd.xlsx]damages-1990'!$J$123</v>
      </c>
      <c r="IK1" s="4" t="str">
        <f ca="1">"MUS / beta2dist in "&amp;CELL("address",'damages-1990'!$K$123)</f>
        <v>MUS / beta2dist in '[BHM betas v3pd.xlsx]damages-1990'!$K$123</v>
      </c>
      <c r="IL1" s="4" t="str">
        <f ca="1">"MWI / beta1dist in "&amp;CELL("address",'damages-1990'!$J$124)</f>
        <v>MWI / beta1dist in '[BHM betas v3pd.xlsx]damages-1990'!$J$124</v>
      </c>
      <c r="IM1" s="4" t="str">
        <f ca="1">"MWI / beta2dist in "&amp;CELL("address",'damages-1990'!$K$124)</f>
        <v>MWI / beta2dist in '[BHM betas v3pd.xlsx]damages-1990'!$K$124</v>
      </c>
      <c r="IN1" s="4" t="str">
        <f ca="1">"MYS / beta1dist in "&amp;CELL("address",'damages-1990'!$J$125)</f>
        <v>MYS / beta1dist in '[BHM betas v3pd.xlsx]damages-1990'!$J$125</v>
      </c>
      <c r="IO1" s="4" t="str">
        <f ca="1">"MYS / beta2dist in "&amp;CELL("address",'damages-1990'!$K$125)</f>
        <v>MYS / beta2dist in '[BHM betas v3pd.xlsx]damages-1990'!$K$125</v>
      </c>
      <c r="IP1" s="4" t="str">
        <f ca="1">"NAM / beta1dist in "&amp;CELL("address",'damages-1990'!$J$126)</f>
        <v>NAM / beta1dist in '[BHM betas v3pd.xlsx]damages-1990'!$J$126</v>
      </c>
      <c r="IQ1" s="4" t="str">
        <f ca="1">"NAM / beta2dist in "&amp;CELL("address",'damages-1990'!$K$126)</f>
        <v>NAM / beta2dist in '[BHM betas v3pd.xlsx]damages-1990'!$K$126</v>
      </c>
      <c r="IR1" s="4" t="str">
        <f ca="1">"NCL / beta1dist in "&amp;CELL("address",'damages-1990'!$J$127)</f>
        <v>NCL / beta1dist in '[BHM betas v3pd.xlsx]damages-1990'!$J$127</v>
      </c>
      <c r="IS1" s="4" t="str">
        <f ca="1">"NCL / beta2dist in "&amp;CELL("address",'damages-1990'!$K$127)</f>
        <v>NCL / beta2dist in '[BHM betas v3pd.xlsx]damages-1990'!$K$127</v>
      </c>
      <c r="IT1" s="4" t="str">
        <f ca="1">"NER / beta1dist in "&amp;CELL("address",'damages-1990'!$J$128)</f>
        <v>NER / beta1dist in '[BHM betas v3pd.xlsx]damages-1990'!$J$128</v>
      </c>
      <c r="IU1" s="4" t="str">
        <f ca="1">"NER / beta2dist in "&amp;CELL("address",'damages-1990'!$K$128)</f>
        <v>NER / beta2dist in '[BHM betas v3pd.xlsx]damages-1990'!$K$128</v>
      </c>
      <c r="IV1" s="4" t="str">
        <f ca="1">"NGA / beta1dist in "&amp;CELL("address",'damages-1990'!$J$129)</f>
        <v>NGA / beta1dist in '[BHM betas v3pd.xlsx]damages-1990'!$J$129</v>
      </c>
      <c r="IW1" s="4" t="str">
        <f ca="1">"NGA / beta2dist in "&amp;CELL("address",'damages-1990'!$K$129)</f>
        <v>NGA / beta2dist in '[BHM betas v3pd.xlsx]damages-1990'!$K$129</v>
      </c>
      <c r="IX1" s="4" t="str">
        <f ca="1">"NIC / beta1dist in "&amp;CELL("address",'damages-1990'!$J$130)</f>
        <v>NIC / beta1dist in '[BHM betas v3pd.xlsx]damages-1990'!$J$130</v>
      </c>
      <c r="IY1" s="4" t="str">
        <f ca="1">"NIC / beta2dist in "&amp;CELL("address",'damages-1990'!$K$130)</f>
        <v>NIC / beta2dist in '[BHM betas v3pd.xlsx]damages-1990'!$K$130</v>
      </c>
      <c r="IZ1" s="4" t="str">
        <f ca="1">"NLD / beta1dist in "&amp;CELL("address",'damages-1990'!$J$131)</f>
        <v>NLD / beta1dist in '[BHM betas v3pd.xlsx]damages-1990'!$J$131</v>
      </c>
      <c r="JA1" s="4" t="str">
        <f ca="1">"NLD / beta2dist in "&amp;CELL("address",'damages-1990'!$K$131)</f>
        <v>NLD / beta2dist in '[BHM betas v3pd.xlsx]damages-1990'!$K$131</v>
      </c>
      <c r="JB1" s="4" t="str">
        <f ca="1">"NOR / beta1dist in "&amp;CELL("address",'damages-1990'!$J$132)</f>
        <v>NOR / beta1dist in '[BHM betas v3pd.xlsx]damages-1990'!$J$132</v>
      </c>
      <c r="JC1" s="4" t="str">
        <f ca="1">"NOR / beta2dist in "&amp;CELL("address",'damages-1990'!$K$132)</f>
        <v>NOR / beta2dist in '[BHM betas v3pd.xlsx]damages-1990'!$K$132</v>
      </c>
      <c r="JD1" s="4" t="str">
        <f ca="1">"NPL / beta1dist in "&amp;CELL("address",'damages-1990'!$J$133)</f>
        <v>NPL / beta1dist in '[BHM betas v3pd.xlsx]damages-1990'!$J$133</v>
      </c>
      <c r="JE1" s="4" t="str">
        <f ca="1">"NPL / beta2dist in "&amp;CELL("address",'damages-1990'!$K$133)</f>
        <v>NPL / beta2dist in '[BHM betas v3pd.xlsx]damages-1990'!$K$133</v>
      </c>
      <c r="JF1" s="4" t="str">
        <f ca="1">"NRU / beta1dist in "&amp;CELL("address",'damages-1990'!$J$134)</f>
        <v>NRU / beta1dist in '[BHM betas v3pd.xlsx]damages-1990'!$J$134</v>
      </c>
      <c r="JG1" s="4" t="str">
        <f ca="1">"NRU / beta2dist in "&amp;CELL("address",'damages-1990'!$K$134)</f>
        <v>NRU / beta2dist in '[BHM betas v3pd.xlsx]damages-1990'!$K$134</v>
      </c>
      <c r="JH1" s="4" t="str">
        <f ca="1">"NZL / beta1dist in "&amp;CELL("address",'damages-1990'!$J$135)</f>
        <v>NZL / beta1dist in '[BHM betas v3pd.xlsx]damages-1990'!$J$135</v>
      </c>
      <c r="JI1" s="4" t="str">
        <f ca="1">"NZL / beta2dist in "&amp;CELL("address",'damages-1990'!$K$135)</f>
        <v>NZL / beta2dist in '[BHM betas v3pd.xlsx]damages-1990'!$K$135</v>
      </c>
      <c r="JJ1" s="4" t="str">
        <f ca="1">"OMN / beta1dist in "&amp;CELL("address",'damages-1990'!$J$136)</f>
        <v>OMN / beta1dist in '[BHM betas v3pd.xlsx]damages-1990'!$J$136</v>
      </c>
      <c r="JK1" s="4" t="str">
        <f ca="1">"OMN / beta2dist in "&amp;CELL("address",'damages-1990'!$K$136)</f>
        <v>OMN / beta2dist in '[BHM betas v3pd.xlsx]damages-1990'!$K$136</v>
      </c>
      <c r="JL1" s="4" t="str">
        <f ca="1">"PAK / beta1dist in "&amp;CELL("address",'damages-1990'!$J$137)</f>
        <v>PAK / beta1dist in '[BHM betas v3pd.xlsx]damages-1990'!$J$137</v>
      </c>
      <c r="JM1" s="4" t="str">
        <f ca="1">"PAK / beta2dist in "&amp;CELL("address",'damages-1990'!$K$137)</f>
        <v>PAK / beta2dist in '[BHM betas v3pd.xlsx]damages-1990'!$K$137</v>
      </c>
      <c r="JN1" s="4" t="str">
        <f ca="1">"PAN / beta1dist in "&amp;CELL("address",'damages-1990'!$J$138)</f>
        <v>PAN / beta1dist in '[BHM betas v3pd.xlsx]damages-1990'!$J$138</v>
      </c>
      <c r="JO1" s="4" t="str">
        <f ca="1">"PAN / beta2dist in "&amp;CELL("address",'damages-1990'!$K$138)</f>
        <v>PAN / beta2dist in '[BHM betas v3pd.xlsx]damages-1990'!$K$138</v>
      </c>
      <c r="JP1" s="4" t="str">
        <f ca="1">"PER / beta1dist in "&amp;CELL("address",'damages-1990'!$J$139)</f>
        <v>PER / beta1dist in '[BHM betas v3pd.xlsx]damages-1990'!$J$139</v>
      </c>
      <c r="JQ1" s="4" t="str">
        <f ca="1">"PER / beta2dist in "&amp;CELL("address",'damages-1990'!$K$139)</f>
        <v>PER / beta2dist in '[BHM betas v3pd.xlsx]damages-1990'!$K$139</v>
      </c>
      <c r="JR1" s="4" t="str">
        <f ca="1">"PHL / beta1dist in "&amp;CELL("address",'damages-1990'!$J$140)</f>
        <v>PHL / beta1dist in '[BHM betas v3pd.xlsx]damages-1990'!$J$140</v>
      </c>
      <c r="JS1" s="4" t="str">
        <f ca="1">"PHL / beta2dist in "&amp;CELL("address",'damages-1990'!$K$140)</f>
        <v>PHL / beta2dist in '[BHM betas v3pd.xlsx]damages-1990'!$K$140</v>
      </c>
      <c r="JT1" s="4" t="str">
        <f ca="1">"PLW / beta1dist in "&amp;CELL("address",'damages-1990'!$J$141)</f>
        <v>PLW / beta1dist in '[BHM betas v3pd.xlsx]damages-1990'!$J$141</v>
      </c>
      <c r="JU1" s="4" t="str">
        <f ca="1">"PLW / beta2dist in "&amp;CELL("address",'damages-1990'!$K$141)</f>
        <v>PLW / beta2dist in '[BHM betas v3pd.xlsx]damages-1990'!$K$141</v>
      </c>
      <c r="JV1" s="4" t="str">
        <f ca="1">"PNG / beta1dist in "&amp;CELL("address",'damages-1990'!$J$142)</f>
        <v>PNG / beta1dist in '[BHM betas v3pd.xlsx]damages-1990'!$J$142</v>
      </c>
      <c r="JW1" s="4" t="str">
        <f ca="1">"PNG / beta2dist in "&amp;CELL("address",'damages-1990'!$K$142)</f>
        <v>PNG / beta2dist in '[BHM betas v3pd.xlsx]damages-1990'!$K$142</v>
      </c>
      <c r="JX1" s="4" t="str">
        <f ca="1">"POL / beta1dist in "&amp;CELL("address",'damages-1990'!$J$143)</f>
        <v>POL / beta1dist in '[BHM betas v3pd.xlsx]damages-1990'!$J$143</v>
      </c>
      <c r="JY1" s="4" t="str">
        <f ca="1">"POL / beta2dist in "&amp;CELL("address",'damages-1990'!$K$143)</f>
        <v>POL / beta2dist in '[BHM betas v3pd.xlsx]damages-1990'!$K$143</v>
      </c>
      <c r="JZ1" s="4" t="str">
        <f ca="1">"PRI / beta1dist in "&amp;CELL("address",'damages-1990'!$J$144)</f>
        <v>PRI / beta1dist in '[BHM betas v3pd.xlsx]damages-1990'!$J$144</v>
      </c>
      <c r="KA1" s="4" t="str">
        <f ca="1">"PRI / beta2dist in "&amp;CELL("address",'damages-1990'!$K$144)</f>
        <v>PRI / beta2dist in '[BHM betas v3pd.xlsx]damages-1990'!$K$144</v>
      </c>
      <c r="KB1" s="4" t="str">
        <f ca="1">"PRK / beta1dist in "&amp;CELL("address",'damages-1990'!$J$145)</f>
        <v>PRK / beta1dist in '[BHM betas v3pd.xlsx]damages-1990'!$J$145</v>
      </c>
      <c r="KC1" s="4" t="str">
        <f ca="1">"PRK / beta2dist in "&amp;CELL("address",'damages-1990'!$K$145)</f>
        <v>PRK / beta2dist in '[BHM betas v3pd.xlsx]damages-1990'!$K$145</v>
      </c>
      <c r="KD1" s="4" t="str">
        <f ca="1">"PRT / beta1dist in "&amp;CELL("address",'damages-1990'!$J$146)</f>
        <v>PRT / beta1dist in '[BHM betas v3pd.xlsx]damages-1990'!$J$146</v>
      </c>
      <c r="KE1" s="4" t="str">
        <f ca="1">"PRT / beta2dist in "&amp;CELL("address",'damages-1990'!$K$146)</f>
        <v>PRT / beta2dist in '[BHM betas v3pd.xlsx]damages-1990'!$K$146</v>
      </c>
      <c r="KF1" s="4" t="str">
        <f ca="1">"PRY / beta1dist in "&amp;CELL("address",'damages-1990'!$J$147)</f>
        <v>PRY / beta1dist in '[BHM betas v3pd.xlsx]damages-1990'!$J$147</v>
      </c>
      <c r="KG1" s="4" t="str">
        <f ca="1">"PRY / beta2dist in "&amp;CELL("address",'damages-1990'!$K$147)</f>
        <v>PRY / beta2dist in '[BHM betas v3pd.xlsx]damages-1990'!$K$147</v>
      </c>
      <c r="KH1" s="4" t="str">
        <f ca="1">"PSE / beta1dist in "&amp;CELL("address",'damages-1990'!$J$148)</f>
        <v>PSE / beta1dist in '[BHM betas v3pd.xlsx]damages-1990'!$J$148</v>
      </c>
      <c r="KI1" s="4" t="str">
        <f ca="1">"PSE / beta2dist in "&amp;CELL("address",'damages-1990'!$K$148)</f>
        <v>PSE / beta2dist in '[BHM betas v3pd.xlsx]damages-1990'!$K$148</v>
      </c>
      <c r="KJ1" s="4" t="str">
        <f ca="1">"QAT / beta1dist in "&amp;CELL("address",'damages-1990'!$J$149)</f>
        <v>QAT / beta1dist in '[BHM betas v3pd.xlsx]damages-1990'!$J$149</v>
      </c>
      <c r="KK1" s="4" t="str">
        <f ca="1">"QAT / beta2dist in "&amp;CELL("address",'damages-1990'!$K$149)</f>
        <v>QAT / beta2dist in '[BHM betas v3pd.xlsx]damages-1990'!$K$149</v>
      </c>
      <c r="KL1" s="4" t="str">
        <f ca="1">"REU / beta1dist in "&amp;CELL("address",'damages-1990'!$J$150)</f>
        <v>REU / beta1dist in '[BHM betas v3pd.xlsx]damages-1990'!$J$150</v>
      </c>
      <c r="KM1" s="4" t="str">
        <f ca="1">"REU / beta2dist in "&amp;CELL("address",'damages-1990'!$K$150)</f>
        <v>REU / beta2dist in '[BHM betas v3pd.xlsx]damages-1990'!$K$150</v>
      </c>
      <c r="KN1" s="4" t="str">
        <f ca="1">"ROU / beta1dist in "&amp;CELL("address",'damages-1990'!$J$151)</f>
        <v>ROU / beta1dist in '[BHM betas v3pd.xlsx]damages-1990'!$J$151</v>
      </c>
      <c r="KO1" s="4" t="str">
        <f ca="1">"ROU / beta2dist in "&amp;CELL("address",'damages-1990'!$K$151)</f>
        <v>ROU / beta2dist in '[BHM betas v3pd.xlsx]damages-1990'!$K$151</v>
      </c>
      <c r="KP1" s="4" t="str">
        <f ca="1">"RUS / beta1dist in "&amp;CELL("address",'damages-1990'!$J$152)</f>
        <v>RUS / beta1dist in '[BHM betas v3pd.xlsx]damages-1990'!$J$152</v>
      </c>
      <c r="KQ1" s="4" t="str">
        <f ca="1">"RUS / beta2dist in "&amp;CELL("address",'damages-1990'!$K$152)</f>
        <v>RUS / beta2dist in '[BHM betas v3pd.xlsx]damages-1990'!$K$152</v>
      </c>
      <c r="KR1" s="4" t="str">
        <f ca="1">"RWA / beta1dist in "&amp;CELL("address",'damages-1990'!$J$153)</f>
        <v>RWA / beta1dist in '[BHM betas v3pd.xlsx]damages-1990'!$J$153</v>
      </c>
      <c r="KS1" s="4" t="str">
        <f ca="1">"RWA / beta2dist in "&amp;CELL("address",'damages-1990'!$K$153)</f>
        <v>RWA / beta2dist in '[BHM betas v3pd.xlsx]damages-1990'!$K$153</v>
      </c>
      <c r="KT1" s="4" t="str">
        <f ca="1">"SAU / beta1dist in "&amp;CELL("address",'damages-1990'!$J$154)</f>
        <v>SAU / beta1dist in '[BHM betas v3pd.xlsx]damages-1990'!$J$154</v>
      </c>
      <c r="KU1" s="4" t="str">
        <f ca="1">"SAU / beta2dist in "&amp;CELL("address",'damages-1990'!$K$154)</f>
        <v>SAU / beta2dist in '[BHM betas v3pd.xlsx]damages-1990'!$K$154</v>
      </c>
      <c r="KV1" s="4" t="str">
        <f ca="1">"SDN / beta1dist in "&amp;CELL("address",'damages-1990'!$J$155)</f>
        <v>SDN / beta1dist in '[BHM betas v3pd.xlsx]damages-1990'!$J$155</v>
      </c>
      <c r="KW1" s="4" t="str">
        <f ca="1">"SDN / beta2dist in "&amp;CELL("address",'damages-1990'!$K$155)</f>
        <v>SDN / beta2dist in '[BHM betas v3pd.xlsx]damages-1990'!$K$155</v>
      </c>
      <c r="KX1" s="4" t="str">
        <f ca="1">"SEN / beta1dist in "&amp;CELL("address",'damages-1990'!$J$156)</f>
        <v>SEN / beta1dist in '[BHM betas v3pd.xlsx]damages-1990'!$J$156</v>
      </c>
      <c r="KY1" s="4" t="str">
        <f ca="1">"SEN / beta2dist in "&amp;CELL("address",'damages-1990'!$K$156)</f>
        <v>SEN / beta2dist in '[BHM betas v3pd.xlsx]damages-1990'!$K$156</v>
      </c>
      <c r="KZ1" s="4" t="str">
        <f ca="1">"SLB / beta1dist in "&amp;CELL("address",'damages-1990'!$J$157)</f>
        <v>SLB / beta1dist in '[BHM betas v3pd.xlsx]damages-1990'!$J$157</v>
      </c>
      <c r="LA1" s="4" t="str">
        <f ca="1">"SLB / beta2dist in "&amp;CELL("address",'damages-1990'!$K$157)</f>
        <v>SLB / beta2dist in '[BHM betas v3pd.xlsx]damages-1990'!$K$157</v>
      </c>
      <c r="LB1" s="4" t="str">
        <f ca="1">"SLE / beta1dist in "&amp;CELL("address",'damages-1990'!$J$158)</f>
        <v>SLE / beta1dist in '[BHM betas v3pd.xlsx]damages-1990'!$J$158</v>
      </c>
      <c r="LC1" s="4" t="str">
        <f ca="1">"SLE / beta2dist in "&amp;CELL("address",'damages-1990'!$K$158)</f>
        <v>SLE / beta2dist in '[BHM betas v3pd.xlsx]damages-1990'!$K$158</v>
      </c>
      <c r="LD1" s="4" t="str">
        <f ca="1">"SLV / beta1dist in "&amp;CELL("address",'damages-1990'!$J$159)</f>
        <v>SLV / beta1dist in '[BHM betas v3pd.xlsx]damages-1990'!$J$159</v>
      </c>
      <c r="LE1" s="4" t="str">
        <f ca="1">"SLV / beta2dist in "&amp;CELL("address",'damages-1990'!$K$159)</f>
        <v>SLV / beta2dist in '[BHM betas v3pd.xlsx]damages-1990'!$K$159</v>
      </c>
      <c r="LF1" s="4" t="str">
        <f ca="1">"SMR / beta1dist in "&amp;CELL("address",'damages-1990'!$J$160)</f>
        <v>SMR / beta1dist in '[BHM betas v3pd.xlsx]damages-1990'!$J$160</v>
      </c>
      <c r="LG1" s="4" t="str">
        <f ca="1">"SMR / beta2dist in "&amp;CELL("address",'damages-1990'!$K$160)</f>
        <v>SMR / beta2dist in '[BHM betas v3pd.xlsx]damages-1990'!$K$160</v>
      </c>
      <c r="LH1" s="4" t="str">
        <f ca="1">"SOM / beta1dist in "&amp;CELL("address",'damages-1990'!$J$161)</f>
        <v>SOM / beta1dist in '[BHM betas v3pd.xlsx]damages-1990'!$J$161</v>
      </c>
      <c r="LI1" s="4" t="str">
        <f ca="1">"SOM / beta2dist in "&amp;CELL("address",'damages-1990'!$K$161)</f>
        <v>SOM / beta2dist in '[BHM betas v3pd.xlsx]damages-1990'!$K$161</v>
      </c>
      <c r="LJ1" s="4" t="str">
        <f ca="1">"SRB / beta1dist in "&amp;CELL("address",'damages-1990'!$J$162)</f>
        <v>SRB / beta1dist in '[BHM betas v3pd.xlsx]damages-1990'!$J$162</v>
      </c>
      <c r="LK1" s="4" t="str">
        <f ca="1">"SRB / beta2dist in "&amp;CELL("address",'damages-1990'!$K$162)</f>
        <v>SRB / beta2dist in '[BHM betas v3pd.xlsx]damages-1990'!$K$162</v>
      </c>
      <c r="LL1" s="4" t="str">
        <f ca="1">"SSD / beta1dist in "&amp;CELL("address",'damages-1990'!$J$163)</f>
        <v>SSD / beta1dist in '[BHM betas v3pd.xlsx]damages-1990'!$J$163</v>
      </c>
      <c r="LM1" s="4" t="str">
        <f ca="1">"SSD / beta2dist in "&amp;CELL("address",'damages-1990'!$K$163)</f>
        <v>SSD / beta2dist in '[BHM betas v3pd.xlsx]damages-1990'!$K$163</v>
      </c>
      <c r="LN1" s="4" t="str">
        <f ca="1">"STP / beta1dist in "&amp;CELL("address",'damages-1990'!$J$164)</f>
        <v>STP / beta1dist in '[BHM betas v3pd.xlsx]damages-1990'!$J$164</v>
      </c>
      <c r="LO1" s="4" t="str">
        <f ca="1">"STP / beta2dist in "&amp;CELL("address",'damages-1990'!$K$164)</f>
        <v>STP / beta2dist in '[BHM betas v3pd.xlsx]damages-1990'!$K$164</v>
      </c>
      <c r="LP1" s="4" t="str">
        <f ca="1">"SUR / beta1dist in "&amp;CELL("address",'damages-1990'!$J$165)</f>
        <v>SUR / beta1dist in '[BHM betas v3pd.xlsx]damages-1990'!$J$165</v>
      </c>
      <c r="LQ1" s="4" t="str">
        <f ca="1">"SUR / beta2dist in "&amp;CELL("address",'damages-1990'!$K$165)</f>
        <v>SUR / beta2dist in '[BHM betas v3pd.xlsx]damages-1990'!$K$165</v>
      </c>
      <c r="LR1" s="4" t="str">
        <f ca="1">"SVK / beta1dist in "&amp;CELL("address",'damages-1990'!$J$166)</f>
        <v>SVK / beta1dist in '[BHM betas v3pd.xlsx]damages-1990'!$J$166</v>
      </c>
      <c r="LS1" s="4" t="str">
        <f ca="1">"SVK / beta2dist in "&amp;CELL("address",'damages-1990'!$K$166)</f>
        <v>SVK / beta2dist in '[BHM betas v3pd.xlsx]damages-1990'!$K$166</v>
      </c>
      <c r="LT1" s="4" t="str">
        <f ca="1">"SVN / beta1dist in "&amp;CELL("address",'damages-1990'!$J$167)</f>
        <v>SVN / beta1dist in '[BHM betas v3pd.xlsx]damages-1990'!$J$167</v>
      </c>
      <c r="LU1" s="4" t="str">
        <f ca="1">"SVN / beta2dist in "&amp;CELL("address",'damages-1990'!$K$167)</f>
        <v>SVN / beta2dist in '[BHM betas v3pd.xlsx]damages-1990'!$K$167</v>
      </c>
      <c r="LV1" s="4" t="str">
        <f ca="1">"SWE / beta1dist in "&amp;CELL("address",'damages-1990'!$J$168)</f>
        <v>SWE / beta1dist in '[BHM betas v3pd.xlsx]damages-1990'!$J$168</v>
      </c>
      <c r="LW1" s="4" t="str">
        <f ca="1">"SWE / beta2dist in "&amp;CELL("address",'damages-1990'!$K$168)</f>
        <v>SWE / beta2dist in '[BHM betas v3pd.xlsx]damages-1990'!$K$168</v>
      </c>
      <c r="LX1" s="4" t="str">
        <f ca="1">"SYR / beta1dist in "&amp;CELL("address",'damages-1990'!$J$169)</f>
        <v>SYR / beta1dist in '[BHM betas v3pd.xlsx]damages-1990'!$J$169</v>
      </c>
      <c r="LY1" s="4" t="str">
        <f ca="1">"SYR / beta2dist in "&amp;CELL("address",'damages-1990'!$K$169)</f>
        <v>SYR / beta2dist in '[BHM betas v3pd.xlsx]damages-1990'!$K$169</v>
      </c>
      <c r="LZ1" s="4" t="str">
        <f ca="1">"TCD / beta1dist in "&amp;CELL("address",'damages-1990'!$J$170)</f>
        <v>TCD / beta1dist in '[BHM betas v3pd.xlsx]damages-1990'!$J$170</v>
      </c>
      <c r="MA1" s="4" t="str">
        <f ca="1">"TCD / beta2dist in "&amp;CELL("address",'damages-1990'!$K$170)</f>
        <v>TCD / beta2dist in '[BHM betas v3pd.xlsx]damages-1990'!$K$170</v>
      </c>
      <c r="MB1" s="4" t="str">
        <f ca="1">"TGO / beta1dist in "&amp;CELL("address",'damages-1990'!$J$171)</f>
        <v>TGO / beta1dist in '[BHM betas v3pd.xlsx]damages-1990'!$J$171</v>
      </c>
      <c r="MC1" s="4" t="str">
        <f ca="1">"TGO / beta2dist in "&amp;CELL("address",'damages-1990'!$K$171)</f>
        <v>TGO / beta2dist in '[BHM betas v3pd.xlsx]damages-1990'!$K$171</v>
      </c>
      <c r="MD1" s="4" t="str">
        <f ca="1">"THA / beta1dist in "&amp;CELL("address",'damages-1990'!$J$172)</f>
        <v>THA / beta1dist in '[BHM betas v3pd.xlsx]damages-1990'!$J$172</v>
      </c>
      <c r="ME1" s="4" t="str">
        <f ca="1">"THA / beta2dist in "&amp;CELL("address",'damages-1990'!$K$172)</f>
        <v>THA / beta2dist in '[BHM betas v3pd.xlsx]damages-1990'!$K$172</v>
      </c>
      <c r="MF1" s="4" t="str">
        <f ca="1">"TJK / beta1dist in "&amp;CELL("address",'damages-1990'!$J$173)</f>
        <v>TJK / beta1dist in '[BHM betas v3pd.xlsx]damages-1990'!$J$173</v>
      </c>
      <c r="MG1" s="4" t="str">
        <f ca="1">"TJK / beta2dist in "&amp;CELL("address",'damages-1990'!$K$173)</f>
        <v>TJK / beta2dist in '[BHM betas v3pd.xlsx]damages-1990'!$K$173</v>
      </c>
      <c r="MH1" s="4" t="str">
        <f ca="1">"TKM / beta1dist in "&amp;CELL("address",'damages-1990'!$J$174)</f>
        <v>TKM / beta1dist in '[BHM betas v3pd.xlsx]damages-1990'!$J$174</v>
      </c>
      <c r="MI1" s="4" t="str">
        <f ca="1">"TKM / beta2dist in "&amp;CELL("address",'damages-1990'!$K$174)</f>
        <v>TKM / beta2dist in '[BHM betas v3pd.xlsx]damages-1990'!$K$174</v>
      </c>
      <c r="MJ1" s="4" t="str">
        <f ca="1">"TLS / beta1dist in "&amp;CELL("address",'damages-1990'!$J$175)</f>
        <v>TLS / beta1dist in '[BHM betas v3pd.xlsx]damages-1990'!$J$175</v>
      </c>
      <c r="MK1" s="4" t="str">
        <f ca="1">"TLS / beta2dist in "&amp;CELL("address",'damages-1990'!$K$175)</f>
        <v>TLS / beta2dist in '[BHM betas v3pd.xlsx]damages-1990'!$K$175</v>
      </c>
      <c r="ML1" s="4" t="str">
        <f ca="1">"TON / beta1dist in "&amp;CELL("address",'damages-1990'!$J$176)</f>
        <v>TON / beta1dist in '[BHM betas v3pd.xlsx]damages-1990'!$J$176</v>
      </c>
      <c r="MM1" s="4" t="str">
        <f ca="1">"TON / beta2dist in "&amp;CELL("address",'damages-1990'!$K$176)</f>
        <v>TON / beta2dist in '[BHM betas v3pd.xlsx]damages-1990'!$K$176</v>
      </c>
      <c r="MN1" s="4" t="str">
        <f ca="1">"TTO / beta1dist in "&amp;CELL("address",'damages-1990'!$J$177)</f>
        <v>TTO / beta1dist in '[BHM betas v3pd.xlsx]damages-1990'!$J$177</v>
      </c>
      <c r="MO1" s="4" t="str">
        <f ca="1">"TTO / beta2dist in "&amp;CELL("address",'damages-1990'!$K$177)</f>
        <v>TTO / beta2dist in '[BHM betas v3pd.xlsx]damages-1990'!$K$177</v>
      </c>
      <c r="MP1" s="4" t="str">
        <f ca="1">"TUN / beta1dist in "&amp;CELL("address",'damages-1990'!$J$178)</f>
        <v>TUN / beta1dist in '[BHM betas v3pd.xlsx]damages-1990'!$J$178</v>
      </c>
      <c r="MQ1" s="4" t="str">
        <f ca="1">"TUN / beta2dist in "&amp;CELL("address",'damages-1990'!$K$178)</f>
        <v>TUN / beta2dist in '[BHM betas v3pd.xlsx]damages-1990'!$K$178</v>
      </c>
      <c r="MR1" s="4" t="str">
        <f ca="1">"TUR / beta1dist in "&amp;CELL("address",'damages-1990'!$J$179)</f>
        <v>TUR / beta1dist in '[BHM betas v3pd.xlsx]damages-1990'!$J$179</v>
      </c>
      <c r="MS1" s="4" t="str">
        <f ca="1">"TUR / beta2dist in "&amp;CELL("address",'damages-1990'!$K$179)</f>
        <v>TUR / beta2dist in '[BHM betas v3pd.xlsx]damages-1990'!$K$179</v>
      </c>
      <c r="MT1" s="4" t="str">
        <f ca="1">"TUV / beta1dist in "&amp;CELL("address",'damages-1990'!$J$180)</f>
        <v>TUV / beta1dist in '[BHM betas v3pd.xlsx]damages-1990'!$J$180</v>
      </c>
      <c r="MU1" s="4" t="str">
        <f ca="1">"TUV / beta2dist in "&amp;CELL("address",'damages-1990'!$K$180)</f>
        <v>TUV / beta2dist in '[BHM betas v3pd.xlsx]damages-1990'!$K$180</v>
      </c>
      <c r="MV1" s="4" t="str">
        <f ca="1">"TWN / beta1dist in "&amp;CELL("address",'damages-1990'!$J$181)</f>
        <v>TWN / beta1dist in '[BHM betas v3pd.xlsx]damages-1990'!$J$181</v>
      </c>
      <c r="MW1" s="4" t="str">
        <f ca="1">"TWN / beta2dist in "&amp;CELL("address",'damages-1990'!$K$181)</f>
        <v>TWN / beta2dist in '[BHM betas v3pd.xlsx]damages-1990'!$K$181</v>
      </c>
      <c r="MX1" s="4" t="str">
        <f ca="1">"TZA / beta1dist in "&amp;CELL("address",'damages-1990'!$J$182)</f>
        <v>TZA / beta1dist in '[BHM betas v3pd.xlsx]damages-1990'!$J$182</v>
      </c>
      <c r="MY1" s="4" t="str">
        <f ca="1">"TZA / beta2dist in "&amp;CELL("address",'damages-1990'!$K$182)</f>
        <v>TZA / beta2dist in '[BHM betas v3pd.xlsx]damages-1990'!$K$182</v>
      </c>
      <c r="MZ1" s="4" t="str">
        <f ca="1">"UGA / beta1dist in "&amp;CELL("address",'damages-1990'!$J$183)</f>
        <v>UGA / beta1dist in '[BHM betas v3pd.xlsx]damages-1990'!$J$183</v>
      </c>
      <c r="NA1" s="4" t="str">
        <f ca="1">"UGA / beta2dist in "&amp;CELL("address",'damages-1990'!$K$183)</f>
        <v>UGA / beta2dist in '[BHM betas v3pd.xlsx]damages-1990'!$K$183</v>
      </c>
      <c r="NB1" s="4" t="str">
        <f ca="1">"UKR / beta1dist in "&amp;CELL("address",'damages-1990'!$J$184)</f>
        <v>UKR / beta1dist in '[BHM betas v3pd.xlsx]damages-1990'!$J$184</v>
      </c>
      <c r="NC1" s="4" t="str">
        <f ca="1">"UKR / beta2dist in "&amp;CELL("address",'damages-1990'!$K$184)</f>
        <v>UKR / beta2dist in '[BHM betas v3pd.xlsx]damages-1990'!$K$184</v>
      </c>
      <c r="ND1" s="4" t="str">
        <f ca="1">"URY / beta1dist in "&amp;CELL("address",'damages-1990'!$J$185)</f>
        <v>URY / beta1dist in '[BHM betas v3pd.xlsx]damages-1990'!$J$185</v>
      </c>
      <c r="NE1" s="4" t="str">
        <f ca="1">"URY / beta2dist in "&amp;CELL("address",'damages-1990'!$K$185)</f>
        <v>URY / beta2dist in '[BHM betas v3pd.xlsx]damages-1990'!$K$185</v>
      </c>
      <c r="NF1" s="4" t="str">
        <f ca="1">"USA / beta1dist in "&amp;CELL("address",'damages-1990'!$J$186)</f>
        <v>USA / beta1dist in '[BHM betas v3pd.xlsx]damages-1990'!$J$186</v>
      </c>
      <c r="NG1" s="4" t="str">
        <f ca="1">"USA / beta2dist in "&amp;CELL("address",'damages-1990'!$K$186)</f>
        <v>USA / beta2dist in '[BHM betas v3pd.xlsx]damages-1990'!$K$186</v>
      </c>
      <c r="NH1" s="4" t="str">
        <f ca="1">"UZB / beta1dist in "&amp;CELL("address",'damages-1990'!$J$187)</f>
        <v>UZB / beta1dist in '[BHM betas v3pd.xlsx]damages-1990'!$J$187</v>
      </c>
      <c r="NI1" s="4" t="str">
        <f ca="1">"UZB / beta2dist in "&amp;CELL("address",'damages-1990'!$K$187)</f>
        <v>UZB / beta2dist in '[BHM betas v3pd.xlsx]damages-1990'!$K$187</v>
      </c>
      <c r="NJ1" s="4" t="str">
        <f ca="1">"VEN / beta1dist in "&amp;CELL("address",'damages-1990'!$J$188)</f>
        <v>VEN / beta1dist in '[BHM betas v3pd.xlsx]damages-1990'!$J$188</v>
      </c>
      <c r="NK1" s="4" t="str">
        <f ca="1">"VEN / beta2dist in "&amp;CELL("address",'damages-1990'!$K$188)</f>
        <v>VEN / beta2dist in '[BHM betas v3pd.xlsx]damages-1990'!$K$188</v>
      </c>
      <c r="NL1" s="4" t="str">
        <f ca="1">"VNM / beta1dist in "&amp;CELL("address",'damages-1990'!$J$189)</f>
        <v>VNM / beta1dist in '[BHM betas v3pd.xlsx]damages-1990'!$J$189</v>
      </c>
      <c r="NM1" s="4" t="str">
        <f ca="1">"VNM / beta2dist in "&amp;CELL("address",'damages-1990'!$K$189)</f>
        <v>VNM / beta2dist in '[BHM betas v3pd.xlsx]damages-1990'!$K$189</v>
      </c>
      <c r="NN1" s="4" t="str">
        <f ca="1">"VUT / beta1dist in "&amp;CELL("address",'damages-1990'!$J$190)</f>
        <v>VUT / beta1dist in '[BHM betas v3pd.xlsx]damages-1990'!$J$190</v>
      </c>
      <c r="NO1" s="4" t="str">
        <f ca="1">"VUT / beta2dist in "&amp;CELL("address",'damages-1990'!$K$190)</f>
        <v>VUT / beta2dist in '[BHM betas v3pd.xlsx]damages-1990'!$K$190</v>
      </c>
      <c r="NP1" s="4" t="str">
        <f ca="1">"WSM / beta1dist in "&amp;CELL("address",'damages-1990'!$J$191)</f>
        <v>WSM / beta1dist in '[BHM betas v3pd.xlsx]damages-1990'!$J$191</v>
      </c>
      <c r="NQ1" s="4" t="str">
        <f ca="1">"WSM / beta2dist in "&amp;CELL("address",'damages-1990'!$K$191)</f>
        <v>WSM / beta2dist in '[BHM betas v3pd.xlsx]damages-1990'!$K$191</v>
      </c>
      <c r="NR1" s="4" t="str">
        <f ca="1">"YEM / beta1dist in "&amp;CELL("address",'damages-1990'!$J$192)</f>
        <v>YEM / beta1dist in '[BHM betas v3pd.xlsx]damages-1990'!$J$192</v>
      </c>
      <c r="NS1" s="4" t="str">
        <f ca="1">"YEM / beta2dist in "&amp;CELL("address",'damages-1990'!$K$192)</f>
        <v>YEM / beta2dist in '[BHM betas v3pd.xlsx]damages-1990'!$K$192</v>
      </c>
      <c r="NT1" s="4" t="str">
        <f ca="1">"ZAF / beta1dist in "&amp;CELL("address",'damages-1990'!$J$193)</f>
        <v>ZAF / beta1dist in '[BHM betas v3pd.xlsx]damages-1990'!$J$193</v>
      </c>
      <c r="NU1" s="4" t="str">
        <f ca="1">"ZAF / beta2dist in "&amp;CELL("address",'damages-1990'!$K$193)</f>
        <v>ZAF / beta2dist in '[BHM betas v3pd.xlsx]damages-1990'!$K$193</v>
      </c>
      <c r="NV1" s="4" t="str">
        <f ca="1">"ZMB / beta1dist in "&amp;CELL("address",'damages-1990'!$J$194)</f>
        <v>ZMB / beta1dist in '[BHM betas v3pd.xlsx]damages-1990'!$J$194</v>
      </c>
      <c r="NW1" s="4" t="str">
        <f ca="1">"ZMB / beta2dist in "&amp;CELL("address",'damages-1990'!$K$194)</f>
        <v>ZMB / beta2dist in '[BHM betas v3pd.xlsx]damages-1990'!$K$194</v>
      </c>
      <c r="NX1" s="4" t="str">
        <f ca="1">"ZWE / beta1dist in "&amp;CELL("address",'damages-1990'!$J$195)</f>
        <v>ZWE / beta1dist in '[BHM betas v3pd.xlsx]damages-1990'!$J$195</v>
      </c>
      <c r="NY1" s="4" t="str">
        <f ca="1">"ZWE / beta2dist in "&amp;CELL("address",'damages-1990'!$K$195)</f>
        <v>ZWE / beta2dist in '[BHM betas v3pd.xlsx]damages-1990'!$K$195</v>
      </c>
    </row>
    <row r="2" spans="1:389" x14ac:dyDescent="0.45">
      <c r="A2" s="4" t="str">
        <f ca="1">"AFG / beta1dist in "&amp;CELL("address",'damages-1990'!$J$2)</f>
        <v>AFG / beta1dist in '[BHM betas v3pd.xlsx]damages-1990'!$J$2</v>
      </c>
      <c r="B2" s="7">
        <v>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</row>
    <row r="3" spans="1:389" x14ac:dyDescent="0.45">
      <c r="A3" s="4" t="str">
        <f ca="1">"AFG / beta2dist in "&amp;CELL("address",'damages-1990'!$K$2)</f>
        <v>AFG / beta2dist in '[BHM betas v3pd.xlsx]damages-1990'!$K$2</v>
      </c>
      <c r="B3" s="6">
        <v>-0.700084175444181</v>
      </c>
      <c r="C3" s="5">
        <v>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</row>
    <row r="4" spans="1:389" x14ac:dyDescent="0.45">
      <c r="A4" s="4" t="str">
        <f ca="1">"AGO / beta1dist in "&amp;CELL("address",'damages-1990'!$J$3)</f>
        <v>AGO / beta1dist in '[BHM betas v3pd.xlsx]damages-1990'!$J$3</v>
      </c>
      <c r="B4" s="6">
        <v>0.29264055322420301</v>
      </c>
      <c r="C4" s="5">
        <v>0.116271416989483</v>
      </c>
      <c r="D4" s="5">
        <v>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</row>
    <row r="5" spans="1:389" x14ac:dyDescent="0.45">
      <c r="A5" s="4" t="str">
        <f ca="1">"AGO / beta2dist in "&amp;CELL("address",'damages-1990'!$K$3)</f>
        <v>AGO / beta2dist in '[BHM betas v3pd.xlsx]damages-1990'!$K$3</v>
      </c>
      <c r="B5" s="6">
        <v>-0.12491447545774401</v>
      </c>
      <c r="C5" s="5">
        <v>0.20311979098928701</v>
      </c>
      <c r="D5" s="5">
        <v>-0.701658426361631</v>
      </c>
      <c r="E5" s="5">
        <v>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</row>
    <row r="6" spans="1:389" x14ac:dyDescent="0.45">
      <c r="A6" s="4" t="str">
        <f ca="1">"ALB / beta1dist in "&amp;CELL("address",'damages-1990'!$J$4)</f>
        <v>ALB / beta1dist in '[BHM betas v3pd.xlsx]damages-1990'!$J$4</v>
      </c>
      <c r="B6" s="6">
        <v>0.54565010427772698</v>
      </c>
      <c r="C6" s="5">
        <v>-0.149303235107169</v>
      </c>
      <c r="D6" s="5">
        <v>0.21562991208766599</v>
      </c>
      <c r="E6" s="5">
        <v>-7.13625362437533E-2</v>
      </c>
      <c r="F6" s="5">
        <v>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</row>
    <row r="7" spans="1:389" x14ac:dyDescent="0.45">
      <c r="A7" s="4" t="str">
        <f ca="1">"ALB / beta2dist in "&amp;CELL("address",'damages-1990'!$K$4)</f>
        <v>ALB / beta2dist in '[BHM betas v3pd.xlsx]damages-1990'!$K$4</v>
      </c>
      <c r="B7" s="6">
        <v>-0.15964070473068201</v>
      </c>
      <c r="C7" s="5">
        <v>0.16409423141545601</v>
      </c>
      <c r="D7" s="5">
        <v>7.2966161434521296E-2</v>
      </c>
      <c r="E7" s="5">
        <v>7.6547052171237806E-2</v>
      </c>
      <c r="F7" s="5">
        <v>-0.79961198670845501</v>
      </c>
      <c r="G7" s="5">
        <v>1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</row>
    <row r="8" spans="1:389" x14ac:dyDescent="0.45">
      <c r="A8" s="4" t="str">
        <f ca="1">"AND / beta1dist in "&amp;CELL("address",'damages-1990'!$J$5)</f>
        <v>AND / beta1dist in '[BHM betas v3pd.xlsx]damages-1990'!$J$5</v>
      </c>
      <c r="B8" s="6">
        <v>0.229753285906347</v>
      </c>
      <c r="C8" s="5">
        <v>-0.19217545549787399</v>
      </c>
      <c r="D8" s="5">
        <v>-4.4691314054255298E-2</v>
      </c>
      <c r="E8" s="5">
        <v>-3.9309077413175401E-2</v>
      </c>
      <c r="F8" s="5">
        <v>0.383608197042001</v>
      </c>
      <c r="G8" s="5">
        <v>-0.385238659059493</v>
      </c>
      <c r="H8" s="5">
        <v>1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</row>
    <row r="9" spans="1:389" x14ac:dyDescent="0.45">
      <c r="A9" s="4" t="str">
        <f ca="1">"AND / beta2dist in "&amp;CELL("address",'damages-1990'!$K$5)</f>
        <v>AND / beta2dist in '[BHM betas v3pd.xlsx]damages-1990'!$K$5</v>
      </c>
      <c r="B9" s="6">
        <v>-2.3014399988236199E-2</v>
      </c>
      <c r="C9" s="5">
        <v>2.6999327324425199E-2</v>
      </c>
      <c r="D9" s="5">
        <v>1.8305783614624701E-2</v>
      </c>
      <c r="E9" s="5">
        <v>-9.0895340974362498E-3</v>
      </c>
      <c r="F9" s="5">
        <v>-0.174590053563627</v>
      </c>
      <c r="G9" s="5">
        <v>0.27082938672048001</v>
      </c>
      <c r="H9" s="5">
        <v>-0.89740320267400098</v>
      </c>
      <c r="I9" s="5">
        <v>1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</row>
    <row r="10" spans="1:389" x14ac:dyDescent="0.45">
      <c r="A10" s="4" t="str">
        <f ca="1">"ARE / beta1dist in "&amp;CELL("address",'damages-1990'!$J$6)</f>
        <v>ARE / beta1dist in '[BHM betas v3pd.xlsx]damages-1990'!$J$6</v>
      </c>
      <c r="B10" s="6">
        <v>0.33305633419896202</v>
      </c>
      <c r="C10" s="5">
        <v>-4.1207878633219397E-2</v>
      </c>
      <c r="D10" s="5">
        <v>0.43672289585303298</v>
      </c>
      <c r="E10" s="5">
        <v>-9.6418944537004697E-2</v>
      </c>
      <c r="F10" s="5">
        <v>0.159592922961692</v>
      </c>
      <c r="G10" s="5">
        <v>7.6837229972088597E-2</v>
      </c>
      <c r="H10" s="5">
        <v>-0.298245026540021</v>
      </c>
      <c r="I10" s="5">
        <v>0.32484994077353002</v>
      </c>
      <c r="J10" s="5">
        <v>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</row>
    <row r="11" spans="1:389" x14ac:dyDescent="0.45">
      <c r="A11" s="4" t="str">
        <f ca="1">"ARE / beta2dist in "&amp;CELL("address",'damages-1990'!$K$6)</f>
        <v>ARE / beta2dist in '[BHM betas v3pd.xlsx]damages-1990'!$K$6</v>
      </c>
      <c r="B11" s="6">
        <v>-0.23030891776475801</v>
      </c>
      <c r="C11" s="5">
        <v>0.40257984840781802</v>
      </c>
      <c r="D11" s="5">
        <v>-8.30973380318554E-2</v>
      </c>
      <c r="E11" s="5">
        <v>0.25308628560740598</v>
      </c>
      <c r="F11" s="5">
        <v>-8.7879391903442003E-2</v>
      </c>
      <c r="G11" s="5">
        <v>0.148722013912612</v>
      </c>
      <c r="H11" s="5">
        <v>0.12519362157098601</v>
      </c>
      <c r="I11" s="5">
        <v>-0.24414576444467101</v>
      </c>
      <c r="J11" s="5">
        <v>-0.743525767243428</v>
      </c>
      <c r="K11" s="5">
        <v>1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</row>
    <row r="12" spans="1:389" x14ac:dyDescent="0.45">
      <c r="A12" s="4" t="str">
        <f ca="1">"ARG / beta1dist in "&amp;CELL("address",'damages-1990'!$J$7)</f>
        <v>ARG / beta1dist in '[BHM betas v3pd.xlsx]damages-1990'!$J$7</v>
      </c>
      <c r="B12" s="6">
        <v>0.59092452609540902</v>
      </c>
      <c r="C12" s="5">
        <v>-0.13558454926882399</v>
      </c>
      <c r="D12" s="5">
        <v>0.41746553420516602</v>
      </c>
      <c r="E12" s="5">
        <v>-4.2173718154850999E-2</v>
      </c>
      <c r="F12" s="5">
        <v>0.47512270449253302</v>
      </c>
      <c r="G12" s="5">
        <v>-0.101850832133432</v>
      </c>
      <c r="H12" s="5">
        <v>4.5502747657401699E-2</v>
      </c>
      <c r="I12" s="5">
        <v>7.7245396275906805E-2</v>
      </c>
      <c r="J12" s="5">
        <v>0.494177654938035</v>
      </c>
      <c r="K12" s="5">
        <v>-0.22849136803695599</v>
      </c>
      <c r="L12" s="5">
        <v>1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</row>
    <row r="13" spans="1:389" x14ac:dyDescent="0.45">
      <c r="A13" s="4" t="str">
        <f ca="1">"ARG / beta2dist in "&amp;CELL("address",'damages-1990'!$K$7)</f>
        <v>ARG / beta2dist in '[BHM betas v3pd.xlsx]damages-1990'!$K$7</v>
      </c>
      <c r="B13" s="6">
        <v>-0.27519525837561598</v>
      </c>
      <c r="C13" s="5">
        <v>0.32666107988437598</v>
      </c>
      <c r="D13" s="5">
        <v>-3.7554307765210902E-3</v>
      </c>
      <c r="E13" s="5">
        <v>4.6957013486218703E-2</v>
      </c>
      <c r="F13" s="5">
        <v>-0.17180188491783499</v>
      </c>
      <c r="G13" s="5">
        <v>0.177121683119739</v>
      </c>
      <c r="H13" s="5">
        <v>1.78696273513345E-3</v>
      </c>
      <c r="I13" s="5">
        <v>-9.8988314749850606E-2</v>
      </c>
      <c r="J13" s="5">
        <v>-0.23990547825372899</v>
      </c>
      <c r="K13" s="5">
        <v>0.39819398841022502</v>
      </c>
      <c r="L13" s="5">
        <v>-0.73578988051366101</v>
      </c>
      <c r="M13" s="5">
        <v>1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</row>
    <row r="14" spans="1:389" x14ac:dyDescent="0.45">
      <c r="A14" s="4" t="str">
        <f ca="1">"ARM / beta1dist in "&amp;CELL("address",'damages-1990'!$J$8)</f>
        <v>ARM / beta1dist in '[BHM betas v3pd.xlsx]damages-1990'!$J$8</v>
      </c>
      <c r="B14" s="6">
        <v>0.32951432315068002</v>
      </c>
      <c r="C14" s="5">
        <v>-0.111689511091652</v>
      </c>
      <c r="D14" s="5">
        <v>0.132706200276452</v>
      </c>
      <c r="E14" s="5">
        <v>-0.188984176945694</v>
      </c>
      <c r="F14" s="5">
        <v>0.50569788312433195</v>
      </c>
      <c r="G14" s="5">
        <v>-0.336312311696563</v>
      </c>
      <c r="H14" s="5">
        <v>0.39238568887872599</v>
      </c>
      <c r="I14" s="5">
        <v>-0.22738529155700801</v>
      </c>
      <c r="J14" s="5">
        <v>-0.28075853405381601</v>
      </c>
      <c r="K14" s="5">
        <v>0.258767748729547</v>
      </c>
      <c r="L14" s="5">
        <v>0.149891902527928</v>
      </c>
      <c r="M14" s="5">
        <v>1.25520548165695E-2</v>
      </c>
      <c r="N14" s="5">
        <v>1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</row>
    <row r="15" spans="1:389" x14ac:dyDescent="0.45">
      <c r="A15" s="4" t="str">
        <f ca="1">"ARM / beta2dist in "&amp;CELL("address",'damages-1990'!$K$8)</f>
        <v>ARM / beta2dist in '[BHM betas v3pd.xlsx]damages-1990'!$K$8</v>
      </c>
      <c r="B15" s="6">
        <v>6.3426363611250296E-3</v>
      </c>
      <c r="C15" s="5">
        <v>-8.9757348168900797E-2</v>
      </c>
      <c r="D15" s="5">
        <v>-0.11377608370412</v>
      </c>
      <c r="E15" s="5">
        <v>0.18527813250035999</v>
      </c>
      <c r="F15" s="5">
        <v>-0.19902104683321301</v>
      </c>
      <c r="G15" s="5">
        <v>0.20202605636083301</v>
      </c>
      <c r="H15" s="5">
        <v>-0.19797771838521899</v>
      </c>
      <c r="I15" s="5">
        <v>0.20317402279194599</v>
      </c>
      <c r="J15" s="5">
        <v>0.32451109327136601</v>
      </c>
      <c r="K15" s="5">
        <v>-0.33697205781370398</v>
      </c>
      <c r="L15" s="5">
        <v>9.0719790726928498E-2</v>
      </c>
      <c r="M15" s="5">
        <v>-0.13558822181094901</v>
      </c>
      <c r="N15" s="5">
        <v>-0.86445292199851598</v>
      </c>
      <c r="O15" s="5">
        <v>1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</row>
    <row r="16" spans="1:389" x14ac:dyDescent="0.45">
      <c r="A16" s="4" t="str">
        <f ca="1">"ATG / beta1dist in "&amp;CELL("address",'damages-1990'!$J$9)</f>
        <v>ATG / beta1dist in '[BHM betas v3pd.xlsx]damages-1990'!$J$9</v>
      </c>
      <c r="B16" s="6">
        <v>0.118109801042888</v>
      </c>
      <c r="C16" s="5">
        <v>9.7056277317949403E-3</v>
      </c>
      <c r="D16" s="5">
        <v>0.41271835895089398</v>
      </c>
      <c r="E16" s="5">
        <v>-0.39968600995716602</v>
      </c>
      <c r="F16" s="5">
        <v>5.4310430949463098E-2</v>
      </c>
      <c r="G16" s="5">
        <v>7.7316316130758095E-2</v>
      </c>
      <c r="H16" s="5">
        <v>-0.121014794958563</v>
      </c>
      <c r="I16" s="5">
        <v>0.121290533120986</v>
      </c>
      <c r="J16" s="5">
        <v>0.240850366723211</v>
      </c>
      <c r="K16" s="5">
        <v>-0.13177746652570199</v>
      </c>
      <c r="L16" s="5">
        <v>2.2606115985733002E-2</v>
      </c>
      <c r="M16" s="5">
        <v>0.16711265713719201</v>
      </c>
      <c r="N16" s="5">
        <v>0.14100481023285</v>
      </c>
      <c r="O16" s="5">
        <v>-0.201141236530159</v>
      </c>
      <c r="P16" s="5">
        <v>1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</row>
    <row r="17" spans="1:389" x14ac:dyDescent="0.45">
      <c r="A17" s="4" t="str">
        <f ca="1">"ATG / beta2dist in "&amp;CELL("address",'damages-1990'!$K$9)</f>
        <v>ATG / beta2dist in '[BHM betas v3pd.xlsx]damages-1990'!$K$9</v>
      </c>
      <c r="B17" s="6">
        <v>-3.2145497211676297E-2</v>
      </c>
      <c r="C17" s="5">
        <v>0.161407353447478</v>
      </c>
      <c r="D17" s="5">
        <v>-0.21406745323377399</v>
      </c>
      <c r="E17" s="5">
        <v>0.50635657813427903</v>
      </c>
      <c r="F17" s="5">
        <v>2.3563779450227001E-2</v>
      </c>
      <c r="G17" s="5">
        <v>-4.6331289456507802E-3</v>
      </c>
      <c r="H17" s="5">
        <v>2.9744796692556801E-2</v>
      </c>
      <c r="I17" s="5">
        <v>-7.2702252671082795E-2</v>
      </c>
      <c r="J17" s="5">
        <v>-6.0917115160551698E-2</v>
      </c>
      <c r="K17" s="5">
        <v>0.23697664733811699</v>
      </c>
      <c r="L17" s="5">
        <v>0.14982160787700599</v>
      </c>
      <c r="M17" s="5">
        <v>-0.119652028084757</v>
      </c>
      <c r="N17" s="5">
        <v>-0.13763737971930201</v>
      </c>
      <c r="O17" s="5">
        <v>0.18444970624158599</v>
      </c>
      <c r="P17" s="5">
        <v>-0.87196803543413803</v>
      </c>
      <c r="Q17" s="5">
        <v>1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</row>
    <row r="18" spans="1:389" x14ac:dyDescent="0.45">
      <c r="A18" s="4" t="str">
        <f ca="1">"AUS / beta1dist in "&amp;CELL("address",'damages-1990'!$J$10)</f>
        <v>AUS / beta1dist in '[BHM betas v3pd.xlsx]damages-1990'!$J$10</v>
      </c>
      <c r="B18" s="6">
        <v>0.27110600893305697</v>
      </c>
      <c r="C18" s="5">
        <v>0.18170464995876001</v>
      </c>
      <c r="D18" s="5">
        <v>0.547846322358297</v>
      </c>
      <c r="E18" s="5">
        <v>-0.16016666686794401</v>
      </c>
      <c r="F18" s="5">
        <v>0.270752427364013</v>
      </c>
      <c r="G18" s="5">
        <v>1.7603594734891901E-2</v>
      </c>
      <c r="H18" s="5">
        <v>-4.6518971908638997E-2</v>
      </c>
      <c r="I18" s="5">
        <v>6.2765253667291104E-2</v>
      </c>
      <c r="J18" s="5">
        <v>0.49736899840340598</v>
      </c>
      <c r="K18" s="5">
        <v>-0.127642836214933</v>
      </c>
      <c r="L18" s="5">
        <v>0.417713424079726</v>
      </c>
      <c r="M18" s="5">
        <v>1.6543998351492201E-2</v>
      </c>
      <c r="N18" s="5">
        <v>-2.1825682486189001E-2</v>
      </c>
      <c r="O18" s="5">
        <v>0.102519497582252</v>
      </c>
      <c r="P18" s="5">
        <v>0.200674672407713</v>
      </c>
      <c r="Q18" s="5">
        <v>-5.0787233469824803E-3</v>
      </c>
      <c r="R18" s="5">
        <v>1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</row>
    <row r="19" spans="1:389" x14ac:dyDescent="0.45">
      <c r="A19" s="4" t="str">
        <f ca="1">"AUS / beta2dist in "&amp;CELL("address",'damages-1990'!$K$10)</f>
        <v>AUS / beta2dist in '[BHM betas v3pd.xlsx]damages-1990'!$K$10</v>
      </c>
      <c r="B19" s="6">
        <v>-7.6719797874269899E-2</v>
      </c>
      <c r="C19" s="5">
        <v>9.9584348598855996E-2</v>
      </c>
      <c r="D19" s="5">
        <v>-0.246460270211803</v>
      </c>
      <c r="E19" s="5">
        <v>0.40993891495268098</v>
      </c>
      <c r="F19" s="5">
        <v>-0.11205237674957701</v>
      </c>
      <c r="G19" s="5">
        <v>0.13137981021263301</v>
      </c>
      <c r="H19" s="5">
        <v>-0.11673932885256399</v>
      </c>
      <c r="I19" s="5">
        <v>4.46487265461896E-2</v>
      </c>
      <c r="J19" s="5">
        <v>-0.16363696587513099</v>
      </c>
      <c r="K19" s="5">
        <v>0.28824614867617798</v>
      </c>
      <c r="L19" s="5">
        <v>-2.7954588651525201E-2</v>
      </c>
      <c r="M19" s="5">
        <v>-7.9880428125221094E-3</v>
      </c>
      <c r="N19" s="5">
        <v>1.5203438721538599E-2</v>
      </c>
      <c r="O19" s="5">
        <v>-7.8414281771712599E-2</v>
      </c>
      <c r="P19" s="5">
        <v>-0.201197603647782</v>
      </c>
      <c r="Q19" s="5">
        <v>0.29893733492791102</v>
      </c>
      <c r="R19" s="5">
        <v>-0.72012109962604598</v>
      </c>
      <c r="S19" s="5">
        <v>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</row>
    <row r="20" spans="1:389" x14ac:dyDescent="0.45">
      <c r="A20" s="4" t="str">
        <f ca="1">"AUT / beta1dist in "&amp;CELL("address",'damages-1990'!$J$11)</f>
        <v>AUT / beta1dist in '[BHM betas v3pd.xlsx]damages-1990'!$J$11</v>
      </c>
      <c r="B20" s="6">
        <v>0.27476044009393802</v>
      </c>
      <c r="C20" s="5">
        <v>-0.21470548963399499</v>
      </c>
      <c r="D20" s="5">
        <v>0.16299681728896401</v>
      </c>
      <c r="E20" s="5">
        <v>-0.306354071689938</v>
      </c>
      <c r="F20" s="5">
        <v>0.487116275600675</v>
      </c>
      <c r="G20" s="5">
        <v>-0.44559612320025499</v>
      </c>
      <c r="H20" s="5">
        <v>0.62688543570925903</v>
      </c>
      <c r="I20" s="5">
        <v>-0.48749589850719</v>
      </c>
      <c r="J20" s="5">
        <v>-0.104072762475328</v>
      </c>
      <c r="K20" s="5">
        <v>-6.1099254473337902E-2</v>
      </c>
      <c r="L20" s="5">
        <v>0.10176266647099801</v>
      </c>
      <c r="M20" s="5">
        <v>-5.5045718572947003E-3</v>
      </c>
      <c r="N20" s="5">
        <v>0.47603684166823901</v>
      </c>
      <c r="O20" s="5">
        <v>-0.32430664737570603</v>
      </c>
      <c r="P20" s="5">
        <v>0.19212056801639099</v>
      </c>
      <c r="Q20" s="5">
        <v>-0.31132787499325598</v>
      </c>
      <c r="R20" s="5">
        <v>-8.7235821201176594E-2</v>
      </c>
      <c r="S20" s="5">
        <v>-5.5216710986379397E-2</v>
      </c>
      <c r="T20" s="5">
        <v>1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</row>
    <row r="21" spans="1:389" x14ac:dyDescent="0.45">
      <c r="A21" s="4" t="str">
        <f ca="1">"AUT / beta2dist in "&amp;CELL("address",'damages-1990'!$K$11)</f>
        <v>AUT / beta2dist in '[BHM betas v3pd.xlsx]damages-1990'!$K$11</v>
      </c>
      <c r="B21" s="6">
        <v>-5.23941234149514E-2</v>
      </c>
      <c r="C21" s="5">
        <v>0.102499549149842</v>
      </c>
      <c r="D21" s="5">
        <v>-0.18838149905431101</v>
      </c>
      <c r="E21" s="5">
        <v>0.35030616657043601</v>
      </c>
      <c r="F21" s="5">
        <v>-0.29413933517937402</v>
      </c>
      <c r="G21" s="5">
        <v>0.39329058628974101</v>
      </c>
      <c r="H21" s="5">
        <v>-0.50637225906508598</v>
      </c>
      <c r="I21" s="5">
        <v>0.52742157077674401</v>
      </c>
      <c r="J21" s="5">
        <v>0.11915016352102099</v>
      </c>
      <c r="K21" s="5">
        <v>3.1418486782737398E-2</v>
      </c>
      <c r="L21" s="5">
        <v>5.2918439713166898E-2</v>
      </c>
      <c r="M21" s="5">
        <v>-6.6042853518458899E-2</v>
      </c>
      <c r="N21" s="5">
        <v>-0.32094143321046598</v>
      </c>
      <c r="O21" s="5">
        <v>0.35152326864392403</v>
      </c>
      <c r="P21" s="5">
        <v>-0.24849437347446399</v>
      </c>
      <c r="Q21" s="5">
        <v>0.36736639088692002</v>
      </c>
      <c r="R21" s="5">
        <v>0.139431358295694</v>
      </c>
      <c r="S21" s="5">
        <v>2.7552575562232898E-2</v>
      </c>
      <c r="T21" s="5">
        <v>-0.90105642656066498</v>
      </c>
      <c r="U21" s="5">
        <v>1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</row>
    <row r="22" spans="1:389" x14ac:dyDescent="0.45">
      <c r="A22" s="4" t="str">
        <f ca="1">"AZE / beta1dist in "&amp;CELL("address",'damages-1990'!$J$12)</f>
        <v>AZE / beta1dist in '[BHM betas v3pd.xlsx]damages-1990'!$J$12</v>
      </c>
      <c r="B22" s="6">
        <v>0.65183881195784898</v>
      </c>
      <c r="C22" s="5">
        <v>-0.22011898624082299</v>
      </c>
      <c r="D22" s="5">
        <v>0.30363785164810903</v>
      </c>
      <c r="E22" s="5">
        <v>-6.6255816613416896E-2</v>
      </c>
      <c r="F22" s="5">
        <v>0.62402111004746097</v>
      </c>
      <c r="G22" s="5">
        <v>-0.25156825146961898</v>
      </c>
      <c r="H22" s="5">
        <v>0.28535797061853402</v>
      </c>
      <c r="I22" s="5">
        <v>-0.105938602510601</v>
      </c>
      <c r="J22" s="5">
        <v>0.15858058371719599</v>
      </c>
      <c r="K22" s="5">
        <v>3.2188200744713201E-2</v>
      </c>
      <c r="L22" s="5">
        <v>0.50437729492255901</v>
      </c>
      <c r="M22" s="5">
        <v>-0.101606264911448</v>
      </c>
      <c r="N22" s="5">
        <v>0.51974084553617705</v>
      </c>
      <c r="O22" s="5">
        <v>-0.224512346017854</v>
      </c>
      <c r="P22" s="5">
        <v>6.4918400067323995E-2</v>
      </c>
      <c r="Q22" s="5">
        <v>3.6395709804042199E-2</v>
      </c>
      <c r="R22" s="5">
        <v>0.29648562470229001</v>
      </c>
      <c r="S22" s="5">
        <v>-3.4610975646900202E-2</v>
      </c>
      <c r="T22" s="5">
        <v>0.29687761620159597</v>
      </c>
      <c r="U22" s="5">
        <v>-9.2860686813947796E-2</v>
      </c>
      <c r="V22" s="5">
        <v>1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</row>
    <row r="23" spans="1:389" x14ac:dyDescent="0.45">
      <c r="A23" s="4" t="str">
        <f ca="1">"AZE / beta2dist in "&amp;CELL("address",'damages-1990'!$K$12)</f>
        <v>AZE / beta2dist in '[BHM betas v3pd.xlsx]damages-1990'!$K$12</v>
      </c>
      <c r="B23" s="6">
        <v>-0.26944147421153303</v>
      </c>
      <c r="C23" s="5">
        <v>0.35008633812331902</v>
      </c>
      <c r="D23" s="5">
        <v>9.5289335972712497E-2</v>
      </c>
      <c r="E23" s="5">
        <v>7.4185244743489906E-2</v>
      </c>
      <c r="F23" s="5">
        <v>-0.27469154590425499</v>
      </c>
      <c r="G23" s="5">
        <v>0.29575577040519002</v>
      </c>
      <c r="H23" s="5">
        <v>-0.31311571650290998</v>
      </c>
      <c r="I23" s="5">
        <v>0.20906997375311201</v>
      </c>
      <c r="J23" s="5">
        <v>0.26850149054432998</v>
      </c>
      <c r="K23" s="5">
        <v>-7.5614703626044596E-2</v>
      </c>
      <c r="L23" s="5">
        <v>-1.9905566440204199E-2</v>
      </c>
      <c r="M23" s="5">
        <v>5.65427065635715E-2</v>
      </c>
      <c r="N23" s="5">
        <v>-0.45208796086855702</v>
      </c>
      <c r="O23" s="5">
        <v>0.31933764703626399</v>
      </c>
      <c r="P23" s="5">
        <v>0.117228396358544</v>
      </c>
      <c r="Q23" s="5">
        <v>1.1494648281124E-2</v>
      </c>
      <c r="R23" s="5">
        <v>0.159059199609732</v>
      </c>
      <c r="S23" s="5">
        <v>-2.0975326781026201E-2</v>
      </c>
      <c r="T23" s="5">
        <v>-0.264795502251092</v>
      </c>
      <c r="U23" s="5">
        <v>0.18177435655499199</v>
      </c>
      <c r="V23" s="5">
        <v>-0.724155645474438</v>
      </c>
      <c r="W23" s="5">
        <v>1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</row>
    <row r="24" spans="1:389" x14ac:dyDescent="0.45">
      <c r="A24" s="4" t="str">
        <f ca="1">"BDI / beta1dist in "&amp;CELL("address",'damages-1990'!$J$13)</f>
        <v>BDI / beta1dist in '[BHM betas v3pd.xlsx]damages-1990'!$J$13</v>
      </c>
      <c r="B24" s="6">
        <v>0.274359636543828</v>
      </c>
      <c r="C24" s="5">
        <v>0.141212944603959</v>
      </c>
      <c r="D24" s="5">
        <v>0.785832393479584</v>
      </c>
      <c r="E24" s="5">
        <v>-0.51322458185651199</v>
      </c>
      <c r="F24" s="5">
        <v>0.25029771194981998</v>
      </c>
      <c r="G24" s="5">
        <v>2.6340433343246799E-2</v>
      </c>
      <c r="H24" s="5">
        <v>2.7253866944188201E-2</v>
      </c>
      <c r="I24" s="5">
        <v>-2.07071632589154E-2</v>
      </c>
      <c r="J24" s="5">
        <v>0.44728146382828998</v>
      </c>
      <c r="K24" s="5">
        <v>-0.13417824191302699</v>
      </c>
      <c r="L24" s="5">
        <v>0.36800903700961701</v>
      </c>
      <c r="M24" s="5">
        <v>3.2571371794574103E-2</v>
      </c>
      <c r="N24" s="5">
        <v>0.149648494612482</v>
      </c>
      <c r="O24" s="5">
        <v>-0.11362470256426099</v>
      </c>
      <c r="P24" s="5">
        <v>0.44169294168322798</v>
      </c>
      <c r="Q24" s="5">
        <v>-0.26178977966948302</v>
      </c>
      <c r="R24" s="5">
        <v>0.61335802345610202</v>
      </c>
      <c r="S24" s="5">
        <v>-0.38709459396526202</v>
      </c>
      <c r="T24" s="5">
        <v>0.156577627351001</v>
      </c>
      <c r="U24" s="5">
        <v>-0.15178309255178599</v>
      </c>
      <c r="V24" s="5">
        <v>0.27927034459914302</v>
      </c>
      <c r="W24" s="5">
        <v>0.136501442964609</v>
      </c>
      <c r="X24" s="5">
        <v>1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</row>
    <row r="25" spans="1:389" x14ac:dyDescent="0.45">
      <c r="A25" s="4" t="str">
        <f ca="1">"BDI / beta2dist in "&amp;CELL("address",'damages-1990'!$K$13)</f>
        <v>BDI / beta2dist in '[BHM betas v3pd.xlsx]damages-1990'!$K$13</v>
      </c>
      <c r="B25" s="6">
        <v>-6.0550197509496299E-2</v>
      </c>
      <c r="C25" s="5">
        <v>0.12658492438305</v>
      </c>
      <c r="D25" s="5">
        <v>-0.47211719795214402</v>
      </c>
      <c r="E25" s="5">
        <v>0.74634042292786695</v>
      </c>
      <c r="F25" s="5">
        <v>-7.7955227302357294E-2</v>
      </c>
      <c r="G25" s="5">
        <v>0.115140199448166</v>
      </c>
      <c r="H25" s="5">
        <v>-9.94784959213251E-2</v>
      </c>
      <c r="I25" s="5">
        <v>3.40979437055954E-2</v>
      </c>
      <c r="J25" s="5">
        <v>-0.13199256578517399</v>
      </c>
      <c r="K25" s="5">
        <v>0.31150228987362999</v>
      </c>
      <c r="L25" s="5">
        <v>-1.27596874353212E-2</v>
      </c>
      <c r="M25" s="5">
        <v>4.59260369235873E-2</v>
      </c>
      <c r="N25" s="5">
        <v>-0.15927347718308599</v>
      </c>
      <c r="O25" s="5">
        <v>0.157832417191063</v>
      </c>
      <c r="P25" s="5">
        <v>-0.38556963927141502</v>
      </c>
      <c r="Q25" s="5">
        <v>0.49201660855361401</v>
      </c>
      <c r="R25" s="5">
        <v>-0.23772611296318</v>
      </c>
      <c r="S25" s="5">
        <v>0.530749724441273</v>
      </c>
      <c r="T25" s="5">
        <v>-0.26015177390527799</v>
      </c>
      <c r="U25" s="5">
        <v>0.28211039347255301</v>
      </c>
      <c r="V25" s="5">
        <v>-7.0090437691469804E-4</v>
      </c>
      <c r="W25" s="5">
        <v>-7.7250356652802101E-3</v>
      </c>
      <c r="X25" s="5">
        <v>-0.73738473338188104</v>
      </c>
      <c r="Y25" s="5">
        <v>1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</row>
    <row r="26" spans="1:389" x14ac:dyDescent="0.45">
      <c r="A26" s="4" t="str">
        <f ca="1">"BEL / beta1dist in "&amp;CELL("address",'damages-1990'!$J$14)</f>
        <v>BEL / beta1dist in '[BHM betas v3pd.xlsx]damages-1990'!$J$14</v>
      </c>
      <c r="B26" s="6">
        <v>0.40861951515727402</v>
      </c>
      <c r="C26" s="5">
        <v>-0.18116581162411999</v>
      </c>
      <c r="D26" s="5">
        <v>0.124825409264518</v>
      </c>
      <c r="E26" s="5">
        <v>-0.136504383724184</v>
      </c>
      <c r="F26" s="5">
        <v>0.61918929584638804</v>
      </c>
      <c r="G26" s="5">
        <v>-0.45668449300754499</v>
      </c>
      <c r="H26" s="5">
        <v>0.69779716259088098</v>
      </c>
      <c r="I26" s="5">
        <v>-0.54365602258336099</v>
      </c>
      <c r="J26" s="5">
        <v>-6.8739819668425794E-2</v>
      </c>
      <c r="K26" s="5">
        <v>1.52287052145904E-2</v>
      </c>
      <c r="L26" s="5">
        <v>0.26742084925714399</v>
      </c>
      <c r="M26" s="5">
        <v>-6.0852344531224199E-2</v>
      </c>
      <c r="N26" s="5">
        <v>0.46081318825928802</v>
      </c>
      <c r="O26" s="5">
        <v>-0.202051621676688</v>
      </c>
      <c r="P26" s="5">
        <v>0.12087631218334501</v>
      </c>
      <c r="Q26" s="5">
        <v>-0.147647836336153</v>
      </c>
      <c r="R26" s="5">
        <v>6.0916809172258897E-2</v>
      </c>
      <c r="S26" s="5">
        <v>-9.6703122660689103E-2</v>
      </c>
      <c r="T26" s="5">
        <v>0.74628564234555606</v>
      </c>
      <c r="U26" s="5">
        <v>-0.59511714300692597</v>
      </c>
      <c r="V26" s="5">
        <v>0.42565530193231599</v>
      </c>
      <c r="W26" s="5">
        <v>-0.211833813447179</v>
      </c>
      <c r="X26" s="5">
        <v>0.16326935047879801</v>
      </c>
      <c r="Y26" s="5">
        <v>-0.13152164210739101</v>
      </c>
      <c r="Z26" s="5">
        <v>1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</row>
    <row r="27" spans="1:389" x14ac:dyDescent="0.45">
      <c r="A27" s="4" t="str">
        <f ca="1">"BEL / beta2dist in "&amp;CELL("address",'damages-1990'!$K$14)</f>
        <v>BEL / beta2dist in '[BHM betas v3pd.xlsx]damages-1990'!$K$14</v>
      </c>
      <c r="B27" s="6">
        <v>-9.7162353644895297E-2</v>
      </c>
      <c r="C27" s="5">
        <v>0.10927709102689399</v>
      </c>
      <c r="D27" s="5">
        <v>-3.6297783725685297E-2</v>
      </c>
      <c r="E27" s="5">
        <v>0.180442455999648</v>
      </c>
      <c r="F27" s="5">
        <v>-0.36211393126720698</v>
      </c>
      <c r="G27" s="5">
        <v>0.44580672303192798</v>
      </c>
      <c r="H27" s="5">
        <v>-0.64775500603260106</v>
      </c>
      <c r="I27" s="5">
        <v>0.65538096822696301</v>
      </c>
      <c r="J27" s="5">
        <v>0.20237670932739599</v>
      </c>
      <c r="K27" s="5">
        <v>-4.6576536901102999E-2</v>
      </c>
      <c r="L27" s="5">
        <v>-7.3187142967982401E-3</v>
      </c>
      <c r="M27" s="5">
        <v>6.0444183485354099E-3</v>
      </c>
      <c r="N27" s="5">
        <v>-0.27271520756884798</v>
      </c>
      <c r="O27" s="5">
        <v>0.204764676594509</v>
      </c>
      <c r="P27" s="5">
        <v>-0.10025318502255801</v>
      </c>
      <c r="Q27" s="5">
        <v>0.185716266602685</v>
      </c>
      <c r="R27" s="5">
        <v>0.100255727632122</v>
      </c>
      <c r="S27" s="5">
        <v>7.7559049497292795E-2</v>
      </c>
      <c r="T27" s="5">
        <v>-0.68384242557027697</v>
      </c>
      <c r="U27" s="5">
        <v>0.70867146413271198</v>
      </c>
      <c r="V27" s="5">
        <v>-0.12447064043957499</v>
      </c>
      <c r="W27" s="5">
        <v>0.15180085441855501</v>
      </c>
      <c r="X27" s="5">
        <v>-4.3505946131597799E-2</v>
      </c>
      <c r="Y27" s="5">
        <v>0.151983418922992</v>
      </c>
      <c r="Z27" s="5">
        <v>-0.87871912123492002</v>
      </c>
      <c r="AA27" s="5">
        <v>1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</row>
    <row r="28" spans="1:389" x14ac:dyDescent="0.45">
      <c r="A28" s="4" t="str">
        <f ca="1">"BEN / beta1dist in "&amp;CELL("address",'damages-1990'!$J$15)</f>
        <v>BEN / beta1dist in '[BHM betas v3pd.xlsx]damages-1990'!$J$15</v>
      </c>
      <c r="B28" s="6">
        <v>0.22469264289909199</v>
      </c>
      <c r="C28" s="5">
        <v>3.20774869029384E-2</v>
      </c>
      <c r="D28" s="5">
        <v>0.61930205929232895</v>
      </c>
      <c r="E28" s="5">
        <v>-0.33220803913083602</v>
      </c>
      <c r="F28" s="5">
        <v>8.3429518642127998E-2</v>
      </c>
      <c r="G28" s="5">
        <v>9.3621007291073297E-2</v>
      </c>
      <c r="H28" s="5">
        <v>-3.2599800719401398E-2</v>
      </c>
      <c r="I28" s="5">
        <v>-2.9305875441315202E-2</v>
      </c>
      <c r="J28" s="5">
        <v>0.52849170923478295</v>
      </c>
      <c r="K28" s="5">
        <v>-0.26910977626973598</v>
      </c>
      <c r="L28" s="5">
        <v>0.32524898344229702</v>
      </c>
      <c r="M28" s="5">
        <v>-4.1434116409167103E-2</v>
      </c>
      <c r="N28" s="5">
        <v>-0.110955094126109</v>
      </c>
      <c r="O28" s="5">
        <v>0.11556475809258</v>
      </c>
      <c r="P28" s="5">
        <v>0.407482962091814</v>
      </c>
      <c r="Q28" s="5">
        <v>-0.28547180985799497</v>
      </c>
      <c r="R28" s="5">
        <v>0.511604764175008</v>
      </c>
      <c r="S28" s="5">
        <v>-0.28475119888251299</v>
      </c>
      <c r="T28" s="5">
        <v>0.14542061639405399</v>
      </c>
      <c r="U28" s="5">
        <v>-0.18668096527247999</v>
      </c>
      <c r="V28" s="5">
        <v>9.97483307378077E-2</v>
      </c>
      <c r="W28" s="5">
        <v>0.223669444776113</v>
      </c>
      <c r="X28" s="5">
        <v>0.57842361606897996</v>
      </c>
      <c r="Y28" s="5">
        <v>-0.29524317884447099</v>
      </c>
      <c r="Z28" s="5">
        <v>0.13058283999016501</v>
      </c>
      <c r="AA28" s="5">
        <v>-0.110295341828872</v>
      </c>
      <c r="AB28" s="5">
        <v>1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</row>
    <row r="29" spans="1:389" x14ac:dyDescent="0.45">
      <c r="A29" s="4" t="str">
        <f ca="1">"BEN / beta2dist in "&amp;CELL("address",'damages-1990'!$K$15)</f>
        <v>BEN / beta2dist in '[BHM betas v3pd.xlsx]damages-1990'!$K$15</v>
      </c>
      <c r="B29" s="6">
        <v>-0.157756835762866</v>
      </c>
      <c r="C29" s="5">
        <v>0.27120875459740701</v>
      </c>
      <c r="D29" s="5">
        <v>-0.366451615518538</v>
      </c>
      <c r="E29" s="5">
        <v>0.56805239438238198</v>
      </c>
      <c r="F29" s="5">
        <v>1.92555615051129E-2</v>
      </c>
      <c r="G29" s="5">
        <v>-1.60876957689789E-2</v>
      </c>
      <c r="H29" s="5">
        <v>3.1780136049021003E-2</v>
      </c>
      <c r="I29" s="5">
        <v>-6.4627129998941102E-2</v>
      </c>
      <c r="J29" s="5">
        <v>-0.29479184430039002</v>
      </c>
      <c r="K29" s="5">
        <v>0.44065562876418601</v>
      </c>
      <c r="L29" s="5">
        <v>-7.8765105632751506E-2</v>
      </c>
      <c r="M29" s="5">
        <v>0.117060210231516</v>
      </c>
      <c r="N29" s="5">
        <v>5.3704918362135097E-2</v>
      </c>
      <c r="O29" s="5">
        <v>-7.5993241147875701E-2</v>
      </c>
      <c r="P29" s="5">
        <v>-0.47799073099381201</v>
      </c>
      <c r="Q29" s="5">
        <v>0.60476549778862498</v>
      </c>
      <c r="R29" s="5">
        <v>-0.22509040815405801</v>
      </c>
      <c r="S29" s="5">
        <v>0.436146359163257</v>
      </c>
      <c r="T29" s="5">
        <v>-0.23085912481536</v>
      </c>
      <c r="U29" s="5">
        <v>0.25676156356341101</v>
      </c>
      <c r="V29" s="5">
        <v>4.2864718967966897E-2</v>
      </c>
      <c r="W29" s="5">
        <v>-8.0850514201082704E-2</v>
      </c>
      <c r="X29" s="5">
        <v>-0.34934044371740702</v>
      </c>
      <c r="Y29" s="5">
        <v>0.502746070492883</v>
      </c>
      <c r="Z29" s="5">
        <v>-0.127287383919614</v>
      </c>
      <c r="AA29" s="5">
        <v>0.170143606004173</v>
      </c>
      <c r="AB29" s="5">
        <v>-0.77441678516048795</v>
      </c>
      <c r="AC29" s="5">
        <v>1</v>
      </c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</row>
    <row r="30" spans="1:389" x14ac:dyDescent="0.45">
      <c r="A30" s="4" t="str">
        <f ca="1">"BFA / beta1dist in "&amp;CELL("address",'damages-1990'!$J$16)</f>
        <v>BFA / beta1dist in '[BHM betas v3pd.xlsx]damages-1990'!$J$16</v>
      </c>
      <c r="B30" s="6">
        <v>0.26579789652465802</v>
      </c>
      <c r="C30" s="5">
        <v>-5.5802244869430501E-2</v>
      </c>
      <c r="D30" s="5">
        <v>0.54497604108974296</v>
      </c>
      <c r="E30" s="5">
        <v>-0.30557231671792301</v>
      </c>
      <c r="F30" s="5">
        <v>0.145338528185496</v>
      </c>
      <c r="G30" s="5">
        <v>8.3910171949452307E-3</v>
      </c>
      <c r="H30" s="5">
        <v>-1.09659596395874E-3</v>
      </c>
      <c r="I30" s="5">
        <v>-8.03543213950309E-3</v>
      </c>
      <c r="J30" s="5">
        <v>0.54034041427573398</v>
      </c>
      <c r="K30" s="5">
        <v>-0.34470041905283499</v>
      </c>
      <c r="L30" s="5">
        <v>0.33480256224765498</v>
      </c>
      <c r="M30" s="5">
        <v>-6.8976651412890999E-2</v>
      </c>
      <c r="N30" s="5">
        <v>-0.14834663461370201</v>
      </c>
      <c r="O30" s="5">
        <v>0.19671382923533601</v>
      </c>
      <c r="P30" s="5">
        <v>0.38489246369761798</v>
      </c>
      <c r="Q30" s="5">
        <v>-0.28992948226644399</v>
      </c>
      <c r="R30" s="5">
        <v>0.48265040798472603</v>
      </c>
      <c r="S30" s="5">
        <v>-0.286908638779722</v>
      </c>
      <c r="T30" s="5">
        <v>0.161291677179524</v>
      </c>
      <c r="U30" s="5">
        <v>-0.180578824017192</v>
      </c>
      <c r="V30" s="5">
        <v>0.18090677131925501</v>
      </c>
      <c r="W30" s="5">
        <v>0.101117996492137</v>
      </c>
      <c r="X30" s="5">
        <v>0.48596523316623003</v>
      </c>
      <c r="Y30" s="5">
        <v>-0.24967290052718899</v>
      </c>
      <c r="Z30" s="5">
        <v>0.13729620503871101</v>
      </c>
      <c r="AA30" s="5">
        <v>-0.107208080483827</v>
      </c>
      <c r="AB30" s="5">
        <v>0.73390864399366595</v>
      </c>
      <c r="AC30" s="5">
        <v>-0.57994172691176504</v>
      </c>
      <c r="AD30" s="5">
        <v>1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</row>
    <row r="31" spans="1:389" x14ac:dyDescent="0.45">
      <c r="A31" s="4" t="str">
        <f ca="1">"BFA / beta2dist in "&amp;CELL("address",'damages-1990'!$K$16)</f>
        <v>BFA / beta2dist in '[BHM betas v3pd.xlsx]damages-1990'!$K$16</v>
      </c>
      <c r="B31" s="6">
        <v>-0.163261948266577</v>
      </c>
      <c r="C31" s="5">
        <v>0.33949635956885699</v>
      </c>
      <c r="D31" s="5">
        <v>-0.25213771883469699</v>
      </c>
      <c r="E31" s="5">
        <v>0.51322347919684497</v>
      </c>
      <c r="F31" s="5">
        <v>-1.2198487921577E-2</v>
      </c>
      <c r="G31" s="5">
        <v>5.1967647762430902E-2</v>
      </c>
      <c r="H31" s="5">
        <v>6.7107952497790398E-3</v>
      </c>
      <c r="I31" s="5">
        <v>-8.0180508452371096E-2</v>
      </c>
      <c r="J31" s="5">
        <v>-0.25541027258646798</v>
      </c>
      <c r="K31" s="5">
        <v>0.470751168720552</v>
      </c>
      <c r="L31" s="5">
        <v>-4.0038855115616799E-2</v>
      </c>
      <c r="M31" s="5">
        <v>0.107506210351253</v>
      </c>
      <c r="N31" s="5">
        <v>9.5400846223444594E-2</v>
      </c>
      <c r="O31" s="5">
        <v>-0.15027584407474701</v>
      </c>
      <c r="P31" s="5">
        <v>-0.424860915644798</v>
      </c>
      <c r="Q31" s="5">
        <v>0.58435081547277601</v>
      </c>
      <c r="R31" s="5">
        <v>-0.14820318882098499</v>
      </c>
      <c r="S31" s="5">
        <v>0.40042932950322502</v>
      </c>
      <c r="T31" s="5">
        <v>-0.23407343424451499</v>
      </c>
      <c r="U31" s="5">
        <v>0.24326344227628499</v>
      </c>
      <c r="V31" s="5">
        <v>-3.6038260272470801E-3</v>
      </c>
      <c r="W31" s="5">
        <v>2.96605714068881E-2</v>
      </c>
      <c r="X31" s="5">
        <v>-0.21906971855527699</v>
      </c>
      <c r="Y31" s="5">
        <v>0.43175391677512298</v>
      </c>
      <c r="Z31" s="5">
        <v>-0.123160431043735</v>
      </c>
      <c r="AA31" s="5">
        <v>0.16649574926671301</v>
      </c>
      <c r="AB31" s="5">
        <v>-0.46970007964175398</v>
      </c>
      <c r="AC31" s="5">
        <v>0.76756191891555503</v>
      </c>
      <c r="AD31" s="5">
        <v>-0.76717901966901403</v>
      </c>
      <c r="AE31" s="5">
        <v>1</v>
      </c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</row>
    <row r="32" spans="1:389" x14ac:dyDescent="0.45">
      <c r="A32" s="4" t="str">
        <f ca="1">"BGD / beta1dist in "&amp;CELL("address",'damages-1990'!$J$17)</f>
        <v>BGD / beta1dist in '[BHM betas v3pd.xlsx]damages-1990'!$J$17</v>
      </c>
      <c r="B32" s="6">
        <v>0.18586685962125399</v>
      </c>
      <c r="C32" s="5">
        <v>0.16216936710397301</v>
      </c>
      <c r="D32" s="5">
        <v>0.34736864574556597</v>
      </c>
      <c r="E32" s="5">
        <v>-6.2637747072774599E-2</v>
      </c>
      <c r="F32" s="5">
        <v>2.9085515754089301E-2</v>
      </c>
      <c r="G32" s="5">
        <v>0.28997485839855602</v>
      </c>
      <c r="H32" s="5">
        <v>-0.32183566628070498</v>
      </c>
      <c r="I32" s="5">
        <v>0.243905615015441</v>
      </c>
      <c r="J32" s="5">
        <v>0.32606160834728598</v>
      </c>
      <c r="K32" s="5">
        <v>3.11688350589144E-2</v>
      </c>
      <c r="L32" s="5">
        <v>0.43128630974278298</v>
      </c>
      <c r="M32" s="5">
        <v>-0.16533969487222799</v>
      </c>
      <c r="N32" s="5">
        <v>-4.7272854250596102E-2</v>
      </c>
      <c r="O32" s="5">
        <v>4.80620657756533E-2</v>
      </c>
      <c r="P32" s="5">
        <v>0.22773690477967401</v>
      </c>
      <c r="Q32" s="5">
        <v>-9.0350522392098703E-2</v>
      </c>
      <c r="R32" s="5">
        <v>0.28142271263243901</v>
      </c>
      <c r="S32" s="5">
        <v>7.1836874678956594E-2</v>
      </c>
      <c r="T32" s="5">
        <v>-0.14442031217162599</v>
      </c>
      <c r="U32" s="5">
        <v>0.12495391441751801</v>
      </c>
      <c r="V32" s="5">
        <v>0.21183229001291201</v>
      </c>
      <c r="W32" s="5">
        <v>0.12431637160301801</v>
      </c>
      <c r="X32" s="5">
        <v>0.24167754750548001</v>
      </c>
      <c r="Y32" s="5">
        <v>7.5258395713442297E-2</v>
      </c>
      <c r="Z32" s="5">
        <v>-9.7486147246858598E-2</v>
      </c>
      <c r="AA32" s="5">
        <v>0.18496968960030799</v>
      </c>
      <c r="AB32" s="5">
        <v>0.23753897581007399</v>
      </c>
      <c r="AC32" s="5">
        <v>-0.129891052863671</v>
      </c>
      <c r="AD32" s="5">
        <v>0.257611518950628</v>
      </c>
      <c r="AE32" s="5">
        <v>-0.120584631671617</v>
      </c>
      <c r="AF32" s="5">
        <v>1</v>
      </c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</row>
    <row r="33" spans="1:389" x14ac:dyDescent="0.45">
      <c r="A33" s="4" t="str">
        <f ca="1">"BGD / beta2dist in "&amp;CELL("address",'damages-1990'!$K$17)</f>
        <v>BGD / beta2dist in '[BHM betas v3pd.xlsx]damages-1990'!$K$17</v>
      </c>
      <c r="B33" s="6">
        <v>-9.5504615360232206E-2</v>
      </c>
      <c r="C33" s="5">
        <v>0.129005631564484</v>
      </c>
      <c r="D33" s="5">
        <v>-7.0407624049679193E-2</v>
      </c>
      <c r="E33" s="5">
        <v>0.231931000598397</v>
      </c>
      <c r="F33" s="5">
        <v>6.03939924411818E-2</v>
      </c>
      <c r="G33" s="5">
        <v>-0.15948668934854601</v>
      </c>
      <c r="H33" s="5">
        <v>0.19289816874010601</v>
      </c>
      <c r="I33" s="5">
        <v>-0.183861916685232</v>
      </c>
      <c r="J33" s="5">
        <v>-8.6717437568508193E-2</v>
      </c>
      <c r="K33" s="5">
        <v>0.143743971257207</v>
      </c>
      <c r="L33" s="5">
        <v>-0.22129825131678599</v>
      </c>
      <c r="M33" s="5">
        <v>0.29683451354898199</v>
      </c>
      <c r="N33" s="5">
        <v>2.11344139410151E-2</v>
      </c>
      <c r="O33" s="5">
        <v>-3.2346784930298599E-2</v>
      </c>
      <c r="P33" s="5">
        <v>-0.17182154239640501</v>
      </c>
      <c r="Q33" s="5">
        <v>0.28842218269686298</v>
      </c>
      <c r="R33" s="5">
        <v>4.2443702220743201E-2</v>
      </c>
      <c r="S33" s="5">
        <v>2.1512664164981099E-2</v>
      </c>
      <c r="T33" s="5">
        <v>-1.9220792405382901E-2</v>
      </c>
      <c r="U33" s="5">
        <v>4.0634144774081601E-2</v>
      </c>
      <c r="V33" s="5">
        <v>-5.0923256382713999E-2</v>
      </c>
      <c r="W33" s="5">
        <v>2.51589487718701E-2</v>
      </c>
      <c r="X33" s="5">
        <v>2.6129257412685299E-2</v>
      </c>
      <c r="Y33" s="5">
        <v>7.5359216297688894E-2</v>
      </c>
      <c r="Z33" s="5">
        <v>3.5184754925946998E-2</v>
      </c>
      <c r="AA33" s="5">
        <v>-2.9510297358271501E-2</v>
      </c>
      <c r="AB33" s="5">
        <v>-9.1958045020693099E-3</v>
      </c>
      <c r="AC33" s="5">
        <v>0.27486903740346602</v>
      </c>
      <c r="AD33" s="5">
        <v>-0.105881550202523</v>
      </c>
      <c r="AE33" s="5">
        <v>0.34495722713492699</v>
      </c>
      <c r="AF33" s="5">
        <v>-0.81080038923954301</v>
      </c>
      <c r="AG33" s="5">
        <v>1</v>
      </c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</row>
    <row r="34" spans="1:389" x14ac:dyDescent="0.45">
      <c r="A34" s="4" t="str">
        <f ca="1">"BGR / beta1dist in "&amp;CELL("address",'damages-1990'!$J$18)</f>
        <v>BGR / beta1dist in '[BHM betas v3pd.xlsx]damages-1990'!$J$18</v>
      </c>
      <c r="B34" s="6">
        <v>0.49939190578552101</v>
      </c>
      <c r="C34" s="5">
        <v>-0.16347471738670899</v>
      </c>
      <c r="D34" s="5">
        <v>0.25914542613597102</v>
      </c>
      <c r="E34" s="5">
        <v>-0.175517514833743</v>
      </c>
      <c r="F34" s="5">
        <v>0.83706120249368099</v>
      </c>
      <c r="G34" s="5">
        <v>-0.65341089742032898</v>
      </c>
      <c r="H34" s="5">
        <v>0.420365396163285</v>
      </c>
      <c r="I34" s="5">
        <v>-0.229386219732539</v>
      </c>
      <c r="J34" s="5">
        <v>5.9700198536678697E-2</v>
      </c>
      <c r="K34" s="5">
        <v>-2.6587390112985498E-2</v>
      </c>
      <c r="L34" s="5">
        <v>0.36976947738488603</v>
      </c>
      <c r="M34" s="5">
        <v>-8.2602505323805794E-2</v>
      </c>
      <c r="N34" s="5">
        <v>0.57980175772355202</v>
      </c>
      <c r="O34" s="5">
        <v>-0.29311723695622</v>
      </c>
      <c r="P34" s="5">
        <v>8.5983901297110907E-2</v>
      </c>
      <c r="Q34" s="5">
        <v>-4.20054633936622E-2</v>
      </c>
      <c r="R34" s="5">
        <v>0.182508580950004</v>
      </c>
      <c r="S34" s="5">
        <v>-7.0413892391413394E-2</v>
      </c>
      <c r="T34" s="5">
        <v>0.58824835730712799</v>
      </c>
      <c r="U34" s="5">
        <v>-0.41751999850913701</v>
      </c>
      <c r="V34" s="5">
        <v>0.61468803706429698</v>
      </c>
      <c r="W34" s="5">
        <v>-0.35480061452988099</v>
      </c>
      <c r="X34" s="5">
        <v>0.264122373047252</v>
      </c>
      <c r="Y34" s="5">
        <v>-0.14057889677694699</v>
      </c>
      <c r="Z34" s="5">
        <v>0.60947124777478601</v>
      </c>
      <c r="AA34" s="5">
        <v>-0.39119688369967898</v>
      </c>
      <c r="AB34" s="5">
        <v>0.10612879990868</v>
      </c>
      <c r="AC34" s="5">
        <v>-3.4098468781435097E-2</v>
      </c>
      <c r="AD34" s="5">
        <v>0.162062047206395</v>
      </c>
      <c r="AE34" s="5">
        <v>-6.1501536539089199E-2</v>
      </c>
      <c r="AF34" s="5">
        <v>-3.10132573660086E-3</v>
      </c>
      <c r="AG34" s="5">
        <v>6.2868210635790706E-2</v>
      </c>
      <c r="AH34" s="5">
        <v>1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</row>
    <row r="35" spans="1:389" x14ac:dyDescent="0.45">
      <c r="A35" s="4" t="str">
        <f ca="1">"BGR / beta2dist in "&amp;CELL("address",'damages-1990'!$K$18)</f>
        <v>BGR / beta2dist in '[BHM betas v3pd.xlsx]damages-1990'!$K$18</v>
      </c>
      <c r="B35" s="6">
        <v>-0.11702357676380799</v>
      </c>
      <c r="C35" s="5">
        <v>0.13432342867407601</v>
      </c>
      <c r="D35" s="5">
        <v>-4.52573612845504E-2</v>
      </c>
      <c r="E35" s="5">
        <v>0.204433939087653</v>
      </c>
      <c r="F35" s="5">
        <v>-0.60467127340196603</v>
      </c>
      <c r="G35" s="5">
        <v>0.78123693827222296</v>
      </c>
      <c r="H35" s="5">
        <v>-0.39040341436112702</v>
      </c>
      <c r="I35" s="5">
        <v>0.31685796884735301</v>
      </c>
      <c r="J35" s="5">
        <v>0.14558930242182799</v>
      </c>
      <c r="K35" s="5">
        <v>5.4752099741739203E-2</v>
      </c>
      <c r="L35" s="5">
        <v>-1.5710723279799499E-2</v>
      </c>
      <c r="M35" s="5">
        <v>5.2136786811686403E-2</v>
      </c>
      <c r="N35" s="5">
        <v>-0.41839139757059002</v>
      </c>
      <c r="O35" s="5">
        <v>0.32617909161395098</v>
      </c>
      <c r="P35" s="5">
        <v>1.5242853305347101E-3</v>
      </c>
      <c r="Q35" s="5">
        <v>7.9681581573986096E-2</v>
      </c>
      <c r="R35" s="5">
        <v>7.6007470883088596E-2</v>
      </c>
      <c r="S35" s="5">
        <v>6.2931833900080503E-2</v>
      </c>
      <c r="T35" s="5">
        <v>-0.55610758626380496</v>
      </c>
      <c r="U35" s="5">
        <v>0.54373718779339697</v>
      </c>
      <c r="V35" s="5">
        <v>-0.25657013443850202</v>
      </c>
      <c r="W35" s="5">
        <v>0.35429273127953698</v>
      </c>
      <c r="X35" s="5">
        <v>-4.6440119438234097E-2</v>
      </c>
      <c r="Y35" s="5">
        <v>0.18274579150748799</v>
      </c>
      <c r="Z35" s="5">
        <v>-0.43352673094517202</v>
      </c>
      <c r="AA35" s="5">
        <v>0.46151216004544499</v>
      </c>
      <c r="AB35" s="5">
        <v>1.69367654873692E-2</v>
      </c>
      <c r="AC35" s="5">
        <v>4.9884139447643298E-2</v>
      </c>
      <c r="AD35" s="5">
        <v>-5.2323097794360902E-2</v>
      </c>
      <c r="AE35" s="5">
        <v>0.102676237110308</v>
      </c>
      <c r="AF35" s="5">
        <v>0.25348157192409998</v>
      </c>
      <c r="AG35" s="5">
        <v>-0.13628341189248799</v>
      </c>
      <c r="AH35" s="5">
        <v>-0.829609302139375</v>
      </c>
      <c r="AI35" s="5">
        <v>1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</row>
    <row r="36" spans="1:389" x14ac:dyDescent="0.45">
      <c r="A36" s="4" t="str">
        <f ca="1">"BHR / beta1dist in "&amp;CELL("address",'damages-1990'!$J$19)</f>
        <v>BHR / beta1dist in '[BHM betas v3pd.xlsx]damages-1990'!$J$19</v>
      </c>
      <c r="B36" s="6">
        <v>0.33245337099158201</v>
      </c>
      <c r="C36" s="5">
        <v>-8.6608843963787902E-2</v>
      </c>
      <c r="D36" s="5">
        <v>0.37419857429519798</v>
      </c>
      <c r="E36" s="5">
        <v>-8.9923015750475399E-2</v>
      </c>
      <c r="F36" s="5">
        <v>0.13165050952676099</v>
      </c>
      <c r="G36" s="5">
        <v>8.5385243225306107E-2</v>
      </c>
      <c r="H36" s="5">
        <v>-0.31782372793953001</v>
      </c>
      <c r="I36" s="5">
        <v>0.355567475703989</v>
      </c>
      <c r="J36" s="5">
        <v>0.80124536205593899</v>
      </c>
      <c r="K36" s="5">
        <v>-0.59166723094594997</v>
      </c>
      <c r="L36" s="5">
        <v>0.488627211465473</v>
      </c>
      <c r="M36" s="5">
        <v>-0.29436647084824602</v>
      </c>
      <c r="N36" s="5">
        <v>-0.28645534380457199</v>
      </c>
      <c r="O36" s="5">
        <v>0.34450211186208501</v>
      </c>
      <c r="P36" s="5">
        <v>0.15970251639418401</v>
      </c>
      <c r="Q36" s="5">
        <v>-2.9737602569952701E-2</v>
      </c>
      <c r="R36" s="5">
        <v>0.458265680262335</v>
      </c>
      <c r="S36" s="5">
        <v>-0.168198669454549</v>
      </c>
      <c r="T36" s="5">
        <v>-0.199889948923657</v>
      </c>
      <c r="U36" s="5">
        <v>0.23615457739812801</v>
      </c>
      <c r="V36" s="5">
        <v>0.15653711987378899</v>
      </c>
      <c r="W36" s="5">
        <v>0.2243770113412</v>
      </c>
      <c r="X36" s="5">
        <v>0.41056130720127698</v>
      </c>
      <c r="Y36" s="5">
        <v>-0.15281922723614999</v>
      </c>
      <c r="Z36" s="5">
        <v>-0.14085837225971201</v>
      </c>
      <c r="AA36" s="5">
        <v>0.28339247913044502</v>
      </c>
      <c r="AB36" s="5">
        <v>0.44182178736640298</v>
      </c>
      <c r="AC36" s="5">
        <v>-0.27737846294180402</v>
      </c>
      <c r="AD36" s="5">
        <v>0.46674444379841801</v>
      </c>
      <c r="AE36" s="5">
        <v>-0.256603249369384</v>
      </c>
      <c r="AF36" s="5">
        <v>0.364492813133938</v>
      </c>
      <c r="AG36" s="5">
        <v>-0.16691186355040999</v>
      </c>
      <c r="AH36" s="5">
        <v>2.6716185075961799E-2</v>
      </c>
      <c r="AI36" s="5">
        <v>0.16938931066851001</v>
      </c>
      <c r="AJ36" s="5">
        <v>1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</row>
    <row r="37" spans="1:389" x14ac:dyDescent="0.45">
      <c r="A37" s="4" t="str">
        <f ca="1">"BHR / beta2dist in "&amp;CELL("address",'damages-1990'!$K$19)</f>
        <v>BHR / beta2dist in '[BHM betas v3pd.xlsx]damages-1990'!$K$19</v>
      </c>
      <c r="B37" s="6">
        <v>-0.24184371176518901</v>
      </c>
      <c r="C37" s="5">
        <v>0.43797463278403098</v>
      </c>
      <c r="D37" s="5">
        <v>-4.2088855541497897E-2</v>
      </c>
      <c r="E37" s="5">
        <v>0.22375051421310599</v>
      </c>
      <c r="F37" s="5">
        <v>-6.3180187059055704E-2</v>
      </c>
      <c r="G37" s="5">
        <v>0.130279225492519</v>
      </c>
      <c r="H37" s="5">
        <v>0.101781579036534</v>
      </c>
      <c r="I37" s="5">
        <v>-0.22194665095034</v>
      </c>
      <c r="J37" s="5">
        <v>-0.51708399481513301</v>
      </c>
      <c r="K37" s="5">
        <v>0.79240157025695501</v>
      </c>
      <c r="L37" s="5">
        <v>-0.25736508238484701</v>
      </c>
      <c r="M37" s="5">
        <v>0.46385803706464301</v>
      </c>
      <c r="N37" s="5">
        <v>0.273034797558735</v>
      </c>
      <c r="O37" s="5">
        <v>-0.38044935613161801</v>
      </c>
      <c r="P37" s="5">
        <v>-2.1101934936119698E-2</v>
      </c>
      <c r="Q37" s="5">
        <v>0.16267175116133201</v>
      </c>
      <c r="R37" s="5">
        <v>-9.7826081109087207E-2</v>
      </c>
      <c r="S37" s="5">
        <v>0.26957540508230499</v>
      </c>
      <c r="T37" s="5">
        <v>1.48351074622338E-2</v>
      </c>
      <c r="U37" s="5">
        <v>-6.7232397632321306E-2</v>
      </c>
      <c r="V37" s="5">
        <v>4.3219364026346203E-3</v>
      </c>
      <c r="W37" s="5">
        <v>-7.0892352156954599E-3</v>
      </c>
      <c r="X37" s="5">
        <v>-0.103241296330278</v>
      </c>
      <c r="Y37" s="5">
        <v>0.30103281245652602</v>
      </c>
      <c r="Z37" s="5">
        <v>5.7626738517624003E-2</v>
      </c>
      <c r="AA37" s="5">
        <v>-9.5657949753873095E-2</v>
      </c>
      <c r="AB37" s="5">
        <v>-0.21100645358370601</v>
      </c>
      <c r="AC37" s="5">
        <v>0.40758955139166902</v>
      </c>
      <c r="AD37" s="5">
        <v>-0.30916826405508802</v>
      </c>
      <c r="AE37" s="5">
        <v>0.46405378270209702</v>
      </c>
      <c r="AF37" s="5">
        <v>-1.0440182680106E-2</v>
      </c>
      <c r="AG37" s="5">
        <v>0.203639435019833</v>
      </c>
      <c r="AH37" s="5">
        <v>-6.9728512394176302E-3</v>
      </c>
      <c r="AI37" s="5">
        <v>3.4477842358217901E-2</v>
      </c>
      <c r="AJ37" s="5">
        <v>-0.76062635837920101</v>
      </c>
      <c r="AK37" s="5">
        <v>1</v>
      </c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</row>
    <row r="38" spans="1:389" x14ac:dyDescent="0.45">
      <c r="A38" s="4" t="str">
        <f ca="1">"BHS / beta1dist in "&amp;CELL("address",'damages-1990'!$J$20)</f>
        <v>BHS / beta1dist in '[BHM betas v3pd.xlsx]damages-1990'!$J$20</v>
      </c>
      <c r="B38" s="6">
        <v>-4.6059678672590199E-2</v>
      </c>
      <c r="C38" s="5">
        <v>0.49115605078184299</v>
      </c>
      <c r="D38" s="5">
        <v>0.27940255476076398</v>
      </c>
      <c r="E38" s="5">
        <v>0.157877042364197</v>
      </c>
      <c r="F38" s="5">
        <v>0.11364582551116401</v>
      </c>
      <c r="G38" s="5">
        <v>6.5139390485649595E-2</v>
      </c>
      <c r="H38" s="5">
        <v>-0.199668676917865</v>
      </c>
      <c r="I38" s="5">
        <v>0.15752149279251701</v>
      </c>
      <c r="J38" s="5">
        <v>0.264571732102239</v>
      </c>
      <c r="K38" s="5">
        <v>0.142878347616368</v>
      </c>
      <c r="L38" s="5">
        <v>0.281702839645805</v>
      </c>
      <c r="M38" s="5">
        <v>-1.0217671254533701E-2</v>
      </c>
      <c r="N38" s="5">
        <v>6.0034092934063199E-2</v>
      </c>
      <c r="O38" s="5">
        <v>-0.12812484021668299</v>
      </c>
      <c r="P38" s="5">
        <v>2.6217193019026901E-2</v>
      </c>
      <c r="Q38" s="5">
        <v>0.23790380453542101</v>
      </c>
      <c r="R38" s="5">
        <v>0.42610430782367498</v>
      </c>
      <c r="S38" s="5">
        <v>-2.12344158575179E-2</v>
      </c>
      <c r="T38" s="5">
        <v>-0.28280254595329202</v>
      </c>
      <c r="U38" s="5">
        <v>0.30844278255559199</v>
      </c>
      <c r="V38" s="5">
        <v>6.23648645851613E-2</v>
      </c>
      <c r="W38" s="5">
        <v>0.305262276852384</v>
      </c>
      <c r="X38" s="5">
        <v>0.34732609382419399</v>
      </c>
      <c r="Y38" s="5">
        <v>1.40322689377706E-2</v>
      </c>
      <c r="Z38" s="5">
        <v>-9.2537662060681494E-2</v>
      </c>
      <c r="AA38" s="5">
        <v>0.19055478244636201</v>
      </c>
      <c r="AB38" s="5">
        <v>0.189427540992303</v>
      </c>
      <c r="AC38" s="5">
        <v>0.16708142830085401</v>
      </c>
      <c r="AD38" s="5">
        <v>7.58119547109085E-2</v>
      </c>
      <c r="AE38" s="5">
        <v>0.277700605502535</v>
      </c>
      <c r="AF38" s="5">
        <v>0.15292833816670101</v>
      </c>
      <c r="AG38" s="5">
        <v>0.21849799387426599</v>
      </c>
      <c r="AH38" s="5">
        <v>1.32101747936333E-2</v>
      </c>
      <c r="AI38" s="5">
        <v>0.14489981426703399</v>
      </c>
      <c r="AJ38" s="5">
        <v>0.27299323108268297</v>
      </c>
      <c r="AK38" s="5">
        <v>0.13694742453734801</v>
      </c>
      <c r="AL38" s="5">
        <v>1</v>
      </c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</row>
    <row r="39" spans="1:389" x14ac:dyDescent="0.45">
      <c r="A39" s="4" t="str">
        <f ca="1">"BHS / beta2dist in "&amp;CELL("address",'damages-1990'!$K$20)</f>
        <v>BHS / beta2dist in '[BHM betas v3pd.xlsx]damages-1990'!$K$20</v>
      </c>
      <c r="B39" s="6">
        <v>0.154821372426863</v>
      </c>
      <c r="C39" s="5">
        <v>-0.37923644873750401</v>
      </c>
      <c r="D39" s="5">
        <v>-6.8073607458161503E-2</v>
      </c>
      <c r="E39" s="5">
        <v>-0.125217191934932</v>
      </c>
      <c r="F39" s="5">
        <v>-5.9174498813176997E-2</v>
      </c>
      <c r="G39" s="5">
        <v>4.7713548509008698E-2</v>
      </c>
      <c r="H39" s="5">
        <v>0.114269745244889</v>
      </c>
      <c r="I39" s="5">
        <v>-0.11852993243611</v>
      </c>
      <c r="J39" s="5">
        <v>-7.6705270063329598E-2</v>
      </c>
      <c r="K39" s="5">
        <v>-8.4412953039904703E-2</v>
      </c>
      <c r="L39" s="5">
        <v>-0.12249873042039799</v>
      </c>
      <c r="M39" s="5">
        <v>7.8367116567056097E-2</v>
      </c>
      <c r="N39" s="5">
        <v>-0.105139173420365</v>
      </c>
      <c r="O39" s="5">
        <v>0.17509164679506301</v>
      </c>
      <c r="P39" s="5">
        <v>8.6709036349626303E-2</v>
      </c>
      <c r="Q39" s="5">
        <v>-0.21980732156258301</v>
      </c>
      <c r="R39" s="5">
        <v>-0.20854216030617401</v>
      </c>
      <c r="S39" s="5">
        <v>3.7905283815617197E-2</v>
      </c>
      <c r="T39" s="5">
        <v>0.238443839247786</v>
      </c>
      <c r="U39" s="5">
        <v>-0.28328921731330797</v>
      </c>
      <c r="V39" s="5">
        <v>7.6459726689704202E-2</v>
      </c>
      <c r="W39" s="5">
        <v>-0.24749774073481001</v>
      </c>
      <c r="X39" s="5">
        <v>-0.167017223345996</v>
      </c>
      <c r="Y39" s="5">
        <v>5.3888167021926003E-2</v>
      </c>
      <c r="Z39" s="5">
        <v>7.9855003970478497E-2</v>
      </c>
      <c r="AA39" s="5">
        <v>-0.124810497036315</v>
      </c>
      <c r="AB39" s="5">
        <v>-3.3360753716874803E-2</v>
      </c>
      <c r="AC39" s="5">
        <v>-0.138599552126003</v>
      </c>
      <c r="AD39" s="5">
        <v>5.8217194176444102E-2</v>
      </c>
      <c r="AE39" s="5">
        <v>-0.217880487683414</v>
      </c>
      <c r="AF39" s="5">
        <v>8.2826734082479397E-2</v>
      </c>
      <c r="AG39" s="5">
        <v>-0.26293268704738498</v>
      </c>
      <c r="AH39" s="5">
        <v>2.61373324883349E-2</v>
      </c>
      <c r="AI39" s="5">
        <v>-5.3189799161943101E-2</v>
      </c>
      <c r="AJ39" s="5">
        <v>-0.114001805860343</v>
      </c>
      <c r="AK39" s="5">
        <v>-6.3148546499923505E-2</v>
      </c>
      <c r="AL39" s="5">
        <v>-0.88031632941177296</v>
      </c>
      <c r="AM39" s="5">
        <v>1</v>
      </c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</row>
    <row r="40" spans="1:389" x14ac:dyDescent="0.45">
      <c r="A40" s="4" t="str">
        <f ca="1">"BIH / beta1dist in "&amp;CELL("address",'damages-1990'!$J$21)</f>
        <v>BIH / beta1dist in '[BHM betas v3pd.xlsx]damages-1990'!$J$21</v>
      </c>
      <c r="B40" s="6">
        <v>0.43843079992921902</v>
      </c>
      <c r="C40" s="5">
        <v>-0.21197445554895</v>
      </c>
      <c r="D40" s="5">
        <v>0.221769525137476</v>
      </c>
      <c r="E40" s="5">
        <v>-0.27026748845408899</v>
      </c>
      <c r="F40" s="5">
        <v>0.74691697615659103</v>
      </c>
      <c r="G40" s="5">
        <v>-0.60787278344570905</v>
      </c>
      <c r="H40" s="5">
        <v>0.53284112267884298</v>
      </c>
      <c r="I40" s="5">
        <v>-0.32838544104047102</v>
      </c>
      <c r="J40" s="5">
        <v>-3.7482749329324598E-3</v>
      </c>
      <c r="K40" s="5">
        <v>-7.5416906997055597E-2</v>
      </c>
      <c r="L40" s="5">
        <v>0.28106624686884601</v>
      </c>
      <c r="M40" s="5">
        <v>-8.4214601505041994E-2</v>
      </c>
      <c r="N40" s="5">
        <v>0.60186740764866897</v>
      </c>
      <c r="O40" s="5">
        <v>-0.36663489661700499</v>
      </c>
      <c r="P40" s="5">
        <v>0.163350730853911</v>
      </c>
      <c r="Q40" s="5">
        <v>-0.213358300192938</v>
      </c>
      <c r="R40" s="5">
        <v>6.0367115842097398E-2</v>
      </c>
      <c r="S40" s="5">
        <v>-8.4395792887401899E-2</v>
      </c>
      <c r="T40" s="5">
        <v>0.79911196354629599</v>
      </c>
      <c r="U40" s="5">
        <v>-0.64807176898615704</v>
      </c>
      <c r="V40" s="5">
        <v>0.48984332508922701</v>
      </c>
      <c r="W40" s="5">
        <v>-0.30664385882426798</v>
      </c>
      <c r="X40" s="5">
        <v>0.24932480531551399</v>
      </c>
      <c r="Y40" s="5">
        <v>-0.25705402784249098</v>
      </c>
      <c r="Z40" s="5">
        <v>0.72380806959174004</v>
      </c>
      <c r="AA40" s="5">
        <v>-0.54533841024179597</v>
      </c>
      <c r="AB40" s="5">
        <v>8.9179407269725106E-2</v>
      </c>
      <c r="AC40" s="5">
        <v>-0.120873549749515</v>
      </c>
      <c r="AD40" s="5">
        <v>0.112687872805958</v>
      </c>
      <c r="AE40" s="5">
        <v>-0.122613905159126</v>
      </c>
      <c r="AF40" s="5">
        <v>-6.9296023927580996E-2</v>
      </c>
      <c r="AG40" s="5">
        <v>4.6780780995147302E-3</v>
      </c>
      <c r="AH40" s="5">
        <v>0.80080380582003097</v>
      </c>
      <c r="AI40" s="5">
        <v>-0.66289710803615898</v>
      </c>
      <c r="AJ40" s="5">
        <v>-4.4582264553689299E-2</v>
      </c>
      <c r="AK40" s="5">
        <v>-3.6760141042099799E-2</v>
      </c>
      <c r="AL40" s="5">
        <v>-9.5626735591090098E-2</v>
      </c>
      <c r="AM40" s="5">
        <v>8.8624467084466294E-2</v>
      </c>
      <c r="AN40" s="5">
        <v>1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</row>
    <row r="41" spans="1:389" x14ac:dyDescent="0.45">
      <c r="A41" s="4" t="str">
        <f ca="1">"BIH / beta2dist in "&amp;CELL("address",'damages-1990'!$K$21)</f>
        <v>BIH / beta2dist in '[BHM betas v3pd.xlsx]damages-1990'!$K$21</v>
      </c>
      <c r="B41" s="6">
        <v>-0.102863672585938</v>
      </c>
      <c r="C41" s="5">
        <v>0.13762840119318601</v>
      </c>
      <c r="D41" s="5">
        <v>-0.11802392683099699</v>
      </c>
      <c r="E41" s="5">
        <v>0.32072418995245999</v>
      </c>
      <c r="F41" s="5">
        <v>-0.50671667354160799</v>
      </c>
      <c r="G41" s="5">
        <v>0.64643591196307604</v>
      </c>
      <c r="H41" s="5">
        <v>-0.44597340295004501</v>
      </c>
      <c r="I41" s="5">
        <v>0.38919182859983997</v>
      </c>
      <c r="J41" s="5">
        <v>0.12103464985338901</v>
      </c>
      <c r="K41" s="5">
        <v>8.53519661208368E-2</v>
      </c>
      <c r="L41" s="5">
        <v>4.2283214380643298E-3</v>
      </c>
      <c r="M41" s="5">
        <v>3.04241885393348E-2</v>
      </c>
      <c r="N41" s="5">
        <v>-0.42559860373403802</v>
      </c>
      <c r="O41" s="5">
        <v>0.40875907727917499</v>
      </c>
      <c r="P41" s="5">
        <v>-0.17186601266642701</v>
      </c>
      <c r="Q41" s="5">
        <v>0.29750784198290198</v>
      </c>
      <c r="R41" s="5">
        <v>0.128402059615703</v>
      </c>
      <c r="S41" s="5">
        <v>5.38329466681629E-2</v>
      </c>
      <c r="T41" s="5">
        <v>-0.76108698242234096</v>
      </c>
      <c r="U41" s="5">
        <v>0.79162929078621003</v>
      </c>
      <c r="V41" s="5">
        <v>-0.16740924894036899</v>
      </c>
      <c r="W41" s="5">
        <v>0.25055931218940602</v>
      </c>
      <c r="X41" s="5">
        <v>-0.13171004354444699</v>
      </c>
      <c r="Y41" s="5">
        <v>0.307176500634529</v>
      </c>
      <c r="Z41" s="5">
        <v>-0.54961062104661096</v>
      </c>
      <c r="AA41" s="5">
        <v>0.60541801141879503</v>
      </c>
      <c r="AB41" s="5">
        <v>-3.9240296976918498E-2</v>
      </c>
      <c r="AC41" s="5">
        <v>0.15069882775608101</v>
      </c>
      <c r="AD41" s="5">
        <v>-5.5048892998474597E-2</v>
      </c>
      <c r="AE41" s="5">
        <v>0.15540788540982101</v>
      </c>
      <c r="AF41" s="5">
        <v>0.18741373342914999</v>
      </c>
      <c r="AG41" s="5">
        <v>-1.6230525767593301E-2</v>
      </c>
      <c r="AH41" s="5">
        <v>-0.60005892040823405</v>
      </c>
      <c r="AI41" s="5">
        <v>0.74089347510933801</v>
      </c>
      <c r="AJ41" s="5">
        <v>0.15991150767156501</v>
      </c>
      <c r="AK41" s="5">
        <v>3.80811020677298E-2</v>
      </c>
      <c r="AL41" s="5">
        <v>0.198953626312105</v>
      </c>
      <c r="AM41" s="5">
        <v>-0.12802374292034699</v>
      </c>
      <c r="AN41" s="5">
        <v>-0.86683912669222896</v>
      </c>
      <c r="AO41" s="5">
        <v>1</v>
      </c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</row>
    <row r="42" spans="1:389" x14ac:dyDescent="0.45">
      <c r="A42" s="4" t="str">
        <f ca="1">"BLR / beta1dist in "&amp;CELL("address",'damages-1990'!$J$22)</f>
        <v>BLR / beta1dist in '[BHM betas v3pd.xlsx]damages-1990'!$J$22</v>
      </c>
      <c r="B42" s="6">
        <v>0.28873704361521901</v>
      </c>
      <c r="C42" s="5">
        <v>-0.27997346031924097</v>
      </c>
      <c r="D42" s="5">
        <v>7.5592726881751296E-2</v>
      </c>
      <c r="E42" s="5">
        <v>-0.280150488714561</v>
      </c>
      <c r="F42" s="5">
        <v>0.40215658699257201</v>
      </c>
      <c r="G42" s="5">
        <v>-0.35861729936086201</v>
      </c>
      <c r="H42" s="5">
        <v>0.52391560410056404</v>
      </c>
      <c r="I42" s="5">
        <v>-0.36124314876562802</v>
      </c>
      <c r="J42" s="5">
        <v>-0.132010105873477</v>
      </c>
      <c r="K42" s="5">
        <v>-8.6564478741853204E-2</v>
      </c>
      <c r="L42" s="5">
        <v>0.136549124588731</v>
      </c>
      <c r="M42" s="5">
        <v>-8.72981858840782E-2</v>
      </c>
      <c r="N42" s="5">
        <v>0.27778332814489398</v>
      </c>
      <c r="O42" s="5">
        <v>-1.39760114953316E-3</v>
      </c>
      <c r="P42" s="5">
        <v>-6.5102585221908205E-2</v>
      </c>
      <c r="Q42" s="5">
        <v>-0.10521669275451299</v>
      </c>
      <c r="R42" s="5">
        <v>-8.26501758007573E-2</v>
      </c>
      <c r="S42" s="5">
        <v>-0.10004913233525101</v>
      </c>
      <c r="T42" s="5">
        <v>0.64650901107581205</v>
      </c>
      <c r="U42" s="5">
        <v>-0.51166730985331499</v>
      </c>
      <c r="V42" s="5">
        <v>0.29143186849020702</v>
      </c>
      <c r="W42" s="5">
        <v>-0.28188869424912999</v>
      </c>
      <c r="X42" s="5">
        <v>4.05834676319985E-2</v>
      </c>
      <c r="Y42" s="5">
        <v>-0.18127645511349</v>
      </c>
      <c r="Z42" s="5">
        <v>0.62200091628020504</v>
      </c>
      <c r="AA42" s="5">
        <v>-0.55801932502185903</v>
      </c>
      <c r="AB42" s="5">
        <v>7.0867679256022095E-2</v>
      </c>
      <c r="AC42" s="5">
        <v>-0.187813152382139</v>
      </c>
      <c r="AD42" s="5">
        <v>0.114676262663791</v>
      </c>
      <c r="AE42" s="5">
        <v>-0.224459905667793</v>
      </c>
      <c r="AF42" s="5">
        <v>-0.123898954081147</v>
      </c>
      <c r="AG42" s="5">
        <v>-6.5733339109751293E-2</v>
      </c>
      <c r="AH42" s="5">
        <v>0.50897453696982098</v>
      </c>
      <c r="AI42" s="5">
        <v>-0.45716836257790899</v>
      </c>
      <c r="AJ42" s="5">
        <v>-0.20095132831884099</v>
      </c>
      <c r="AK42" s="5">
        <v>-5.98629902513481E-2</v>
      </c>
      <c r="AL42" s="5">
        <v>-0.36198746304942597</v>
      </c>
      <c r="AM42" s="5">
        <v>0.29131709647514797</v>
      </c>
      <c r="AN42" s="5">
        <v>0.57564229284873702</v>
      </c>
      <c r="AO42" s="5">
        <v>-0.47334111095091602</v>
      </c>
      <c r="AP42" s="5">
        <v>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</row>
    <row r="43" spans="1:389" x14ac:dyDescent="0.45">
      <c r="A43" s="4" t="str">
        <f ca="1">"BLR / beta2dist in "&amp;CELL("address",'damages-1990'!$K$22)</f>
        <v>BLR / beta2dist in '[BHM betas v3pd.xlsx]damages-1990'!$K$22</v>
      </c>
      <c r="B43" s="6">
        <v>-7.4591168336910804E-2</v>
      </c>
      <c r="C43" s="5">
        <v>0.193667434094319</v>
      </c>
      <c r="D43" s="5">
        <v>-7.5592333591896904E-2</v>
      </c>
      <c r="E43" s="5">
        <v>0.33306601377277401</v>
      </c>
      <c r="F43" s="5">
        <v>-0.179716658543351</v>
      </c>
      <c r="G43" s="5">
        <v>0.269233342788745</v>
      </c>
      <c r="H43" s="5">
        <v>-0.380058222790288</v>
      </c>
      <c r="I43" s="5">
        <v>0.34772062200635401</v>
      </c>
      <c r="J43" s="5">
        <v>0.14616135887647699</v>
      </c>
      <c r="K43" s="5">
        <v>7.7827560151595102E-2</v>
      </c>
      <c r="L43" s="5">
        <v>2.5204676004483399E-2</v>
      </c>
      <c r="M43" s="5">
        <v>2.0113010890057299E-2</v>
      </c>
      <c r="N43" s="5">
        <v>-7.39159984037598E-2</v>
      </c>
      <c r="O43" s="5">
        <v>-4.4724021914728899E-2</v>
      </c>
      <c r="P43" s="5">
        <v>3.8812479647786502E-2</v>
      </c>
      <c r="Q43" s="5">
        <v>0.148007136184064</v>
      </c>
      <c r="R43" s="5">
        <v>0.14405932315268999</v>
      </c>
      <c r="S43" s="5">
        <v>9.0521088665643401E-2</v>
      </c>
      <c r="T43" s="5">
        <v>-0.52009138920971298</v>
      </c>
      <c r="U43" s="5">
        <v>0.53176124772855904</v>
      </c>
      <c r="V43" s="5">
        <v>-8.0019050764100499E-2</v>
      </c>
      <c r="W43" s="5">
        <v>0.19245756529737301</v>
      </c>
      <c r="X43" s="5">
        <v>-2.2775002363380599E-2</v>
      </c>
      <c r="Y43" s="5">
        <v>0.213473048859254</v>
      </c>
      <c r="Z43" s="5">
        <v>-0.45281952427263</v>
      </c>
      <c r="AA43" s="5">
        <v>0.55343457525344397</v>
      </c>
      <c r="AB43" s="5">
        <v>-9.2911496506249802E-2</v>
      </c>
      <c r="AC43" s="5">
        <v>0.22570582215590601</v>
      </c>
      <c r="AD43" s="5">
        <v>-0.116792759734573</v>
      </c>
      <c r="AE43" s="5">
        <v>0.249759864910823</v>
      </c>
      <c r="AF43" s="5">
        <v>0.117180256089203</v>
      </c>
      <c r="AG43" s="5">
        <v>9.4798522287798795E-2</v>
      </c>
      <c r="AH43" s="5">
        <v>-0.30546857091634</v>
      </c>
      <c r="AI43" s="5">
        <v>0.400013548740701</v>
      </c>
      <c r="AJ43" s="5">
        <v>0.22455193075218699</v>
      </c>
      <c r="AK43" s="5">
        <v>3.88827028545684E-2</v>
      </c>
      <c r="AL43" s="5">
        <v>0.41222163894638297</v>
      </c>
      <c r="AM43" s="5">
        <v>-0.35155438243666998</v>
      </c>
      <c r="AN43" s="5">
        <v>-0.38533316484549501</v>
      </c>
      <c r="AO43" s="5">
        <v>0.446809960968862</v>
      </c>
      <c r="AP43" s="5">
        <v>-0.91226909770536502</v>
      </c>
      <c r="AQ43" s="5">
        <v>1</v>
      </c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</row>
    <row r="44" spans="1:389" x14ac:dyDescent="0.45">
      <c r="A44" s="4" t="str">
        <f ca="1">"BLZ / beta1dist in "&amp;CELL("address",'damages-1990'!$J$23)</f>
        <v>BLZ / beta1dist in '[BHM betas v3pd.xlsx]damages-1990'!$J$23</v>
      </c>
      <c r="B44" s="6">
        <v>0.105271659079052</v>
      </c>
      <c r="C44" s="5">
        <v>0.31314874486449501</v>
      </c>
      <c r="D44" s="5">
        <v>0.47803723139062498</v>
      </c>
      <c r="E44" s="5">
        <v>-0.12637571828631</v>
      </c>
      <c r="F44" s="5">
        <v>0.118039002764526</v>
      </c>
      <c r="G44" s="5">
        <v>0.134478682222547</v>
      </c>
      <c r="H44" s="5">
        <v>-0.333411515964607</v>
      </c>
      <c r="I44" s="5">
        <v>0.28722652999209403</v>
      </c>
      <c r="J44" s="5">
        <v>0.429371355907185</v>
      </c>
      <c r="K44" s="5">
        <v>-1.46424784084488E-2</v>
      </c>
      <c r="L44" s="5">
        <v>0.29910230025150097</v>
      </c>
      <c r="M44" s="5">
        <v>8.4788099066596304E-2</v>
      </c>
      <c r="N44" s="5">
        <v>1.6382254400260101E-3</v>
      </c>
      <c r="O44" s="5">
        <v>-7.18249694666908E-2</v>
      </c>
      <c r="P44" s="5">
        <v>0.15970146989349601</v>
      </c>
      <c r="Q44" s="5">
        <v>2.5453857074101902E-2</v>
      </c>
      <c r="R44" s="5">
        <v>0.44266097288717898</v>
      </c>
      <c r="S44" s="5">
        <v>-3.8746188933182803E-2</v>
      </c>
      <c r="T44" s="5">
        <v>-0.120523859950669</v>
      </c>
      <c r="U44" s="5">
        <v>0.101299116961094</v>
      </c>
      <c r="V44" s="5">
        <v>0.12599035682901499</v>
      </c>
      <c r="W44" s="5">
        <v>0.28114893715554701</v>
      </c>
      <c r="X44" s="5">
        <v>0.36539717809646699</v>
      </c>
      <c r="Y44" s="5">
        <v>-7.4466298775864902E-3</v>
      </c>
      <c r="Z44" s="5">
        <v>-6.14721939747397E-2</v>
      </c>
      <c r="AA44" s="5">
        <v>0.14443375207294301</v>
      </c>
      <c r="AB44" s="5">
        <v>0.40767367323407799</v>
      </c>
      <c r="AC44" s="5">
        <v>-0.15173957245655001</v>
      </c>
      <c r="AD44" s="5">
        <v>0.357412226408449</v>
      </c>
      <c r="AE44" s="5">
        <v>-9.6151359194337496E-2</v>
      </c>
      <c r="AF44" s="5">
        <v>0.36800591529041798</v>
      </c>
      <c r="AG44" s="5">
        <v>-7.7055576145625901E-2</v>
      </c>
      <c r="AH44" s="5">
        <v>5.33978012368517E-2</v>
      </c>
      <c r="AI44" s="5">
        <v>0.13657415675836099</v>
      </c>
      <c r="AJ44" s="5">
        <v>0.40279136582407499</v>
      </c>
      <c r="AK44" s="5">
        <v>3.4651263085800001E-2</v>
      </c>
      <c r="AL44" s="5">
        <v>0.55647661172243701</v>
      </c>
      <c r="AM44" s="5">
        <v>-0.39615286089394203</v>
      </c>
      <c r="AN44" s="5">
        <v>-2.86742359378129E-2</v>
      </c>
      <c r="AO44" s="5">
        <v>0.121081097274973</v>
      </c>
      <c r="AP44" s="5">
        <v>-0.14809879482669999</v>
      </c>
      <c r="AQ44" s="5">
        <v>0.12655773465968201</v>
      </c>
      <c r="AR44" s="5">
        <v>1</v>
      </c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</row>
    <row r="45" spans="1:389" x14ac:dyDescent="0.45">
      <c r="A45" s="4" t="str">
        <f ca="1">"BLZ / beta2dist in "&amp;CELL("address",'damages-1990'!$K$23)</f>
        <v>BLZ / beta2dist in '[BHM betas v3pd.xlsx]damages-1990'!$K$23</v>
      </c>
      <c r="B45" s="6">
        <v>2.6522250698353299E-2</v>
      </c>
      <c r="C45" s="5">
        <v>-0.11175116955507899</v>
      </c>
      <c r="D45" s="5">
        <v>-0.22931639735086801</v>
      </c>
      <c r="E45" s="5">
        <v>0.29787064412204201</v>
      </c>
      <c r="F45" s="5">
        <v>-3.22949259159604E-2</v>
      </c>
      <c r="G45" s="5">
        <v>-4.0578158842593604E-3</v>
      </c>
      <c r="H45" s="5">
        <v>0.226394843638691</v>
      </c>
      <c r="I45" s="5">
        <v>-0.24337901827258299</v>
      </c>
      <c r="J45" s="5">
        <v>-0.141146478374093</v>
      </c>
      <c r="K45" s="5">
        <v>8.9866941852707896E-2</v>
      </c>
      <c r="L45" s="5">
        <v>-2.6155317726865399E-2</v>
      </c>
      <c r="M45" s="5">
        <v>-6.5864048246566095E-2</v>
      </c>
      <c r="N45" s="5">
        <v>-6.6833259282539803E-2</v>
      </c>
      <c r="O45" s="5">
        <v>0.14206436309466799</v>
      </c>
      <c r="P45" s="5">
        <v>-9.4172581281072296E-2</v>
      </c>
      <c r="Q45" s="5">
        <v>0.136140370252403</v>
      </c>
      <c r="R45" s="5">
        <v>-0.16679318963311701</v>
      </c>
      <c r="S45" s="5">
        <v>0.15258863291807001</v>
      </c>
      <c r="T45" s="5">
        <v>2.7423352993982499E-3</v>
      </c>
      <c r="U45" s="5">
        <v>1.26941642105356E-2</v>
      </c>
      <c r="V45" s="5">
        <v>4.3132313805689403E-2</v>
      </c>
      <c r="W45" s="5">
        <v>-0.16340316720700901</v>
      </c>
      <c r="X45" s="5">
        <v>-0.13447417319433799</v>
      </c>
      <c r="Y45" s="5">
        <v>0.16253009328093301</v>
      </c>
      <c r="Z45" s="5">
        <v>1.5316248761328101E-2</v>
      </c>
      <c r="AA45" s="5">
        <v>-9.2338713171017696E-3</v>
      </c>
      <c r="AB45" s="5">
        <v>-0.21378823229452401</v>
      </c>
      <c r="AC45" s="5">
        <v>0.30016600006535299</v>
      </c>
      <c r="AD45" s="5">
        <v>-0.19180540375080599</v>
      </c>
      <c r="AE45" s="5">
        <v>0.28563129224276301</v>
      </c>
      <c r="AF45" s="5">
        <v>-0.123742213002604</v>
      </c>
      <c r="AG45" s="5">
        <v>0.155364091331441</v>
      </c>
      <c r="AH45" s="5">
        <v>-1.89619594160413E-3</v>
      </c>
      <c r="AI45" s="5">
        <v>-1.2442815119807601E-2</v>
      </c>
      <c r="AJ45" s="5">
        <v>-0.158335592152131</v>
      </c>
      <c r="AK45" s="5">
        <v>5.5947316384116597E-2</v>
      </c>
      <c r="AL45" s="5">
        <v>-0.29638786746047202</v>
      </c>
      <c r="AM45" s="5">
        <v>0.335982360053727</v>
      </c>
      <c r="AN45" s="5">
        <v>-4.8320791410223201E-3</v>
      </c>
      <c r="AO45" s="5">
        <v>1.08774152450504E-2</v>
      </c>
      <c r="AP45" s="5">
        <v>-2.3018294971482701E-2</v>
      </c>
      <c r="AQ45" s="5">
        <v>6.9787036953033205E-2</v>
      </c>
      <c r="AR45" s="5">
        <v>-0.83097568461390103</v>
      </c>
      <c r="AS45" s="5">
        <v>1</v>
      </c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</row>
    <row r="46" spans="1:389" x14ac:dyDescent="0.45">
      <c r="A46" s="4" t="str">
        <f ca="1">"BMU / beta1dist in "&amp;CELL("address",'damages-1990'!$J$24)</f>
        <v>BMU / beta1dist in '[BHM betas v3pd.xlsx]damages-1990'!$J$24</v>
      </c>
      <c r="B46" s="6">
        <v>5.7360546316066102E-2</v>
      </c>
      <c r="C46" s="5">
        <v>0.29595719312025498</v>
      </c>
      <c r="D46" s="5">
        <v>0.14765099944820101</v>
      </c>
      <c r="E46" s="5">
        <v>0.26890629552066803</v>
      </c>
      <c r="F46" s="5">
        <v>9.4756933318002196E-2</v>
      </c>
      <c r="G46" s="5">
        <v>9.7478827754907793E-2</v>
      </c>
      <c r="H46" s="5">
        <v>-0.28025301377636103</v>
      </c>
      <c r="I46" s="5">
        <v>0.28211549305446698</v>
      </c>
      <c r="J46" s="5">
        <v>0.19521043756991799</v>
      </c>
      <c r="K46" s="5">
        <v>0.14898639415440201</v>
      </c>
      <c r="L46" s="5">
        <v>0.38676842908111803</v>
      </c>
      <c r="M46" s="5">
        <v>-0.21196934661612499</v>
      </c>
      <c r="N46" s="5">
        <v>9.2501206812238591E-3</v>
      </c>
      <c r="O46" s="5">
        <v>-6.2877481125736797E-3</v>
      </c>
      <c r="P46" s="5">
        <v>-0.12543447481400599</v>
      </c>
      <c r="Q46" s="5">
        <v>0.34570166585651002</v>
      </c>
      <c r="R46" s="5">
        <v>0.268456891650041</v>
      </c>
      <c r="S46" s="5">
        <v>0.15902999409679899</v>
      </c>
      <c r="T46" s="5">
        <v>-0.35398518155207598</v>
      </c>
      <c r="U46" s="5">
        <v>0.40858099884412802</v>
      </c>
      <c r="V46" s="5">
        <v>7.9390751981812002E-2</v>
      </c>
      <c r="W46" s="5">
        <v>0.23738654198575199</v>
      </c>
      <c r="X46" s="5">
        <v>0.12086707664148399</v>
      </c>
      <c r="Y46" s="5">
        <v>0.227930261911512</v>
      </c>
      <c r="Z46" s="5">
        <v>-0.19752446414550401</v>
      </c>
      <c r="AA46" s="5">
        <v>0.32671309393553</v>
      </c>
      <c r="AB46" s="5">
        <v>9.8360777047654002E-2</v>
      </c>
      <c r="AC46" s="5">
        <v>0.202851454386652</v>
      </c>
      <c r="AD46" s="5">
        <v>2.36571982885301E-2</v>
      </c>
      <c r="AE46" s="5">
        <v>0.29467091170614501</v>
      </c>
      <c r="AF46" s="5">
        <v>0.21083370569721499</v>
      </c>
      <c r="AG46" s="5">
        <v>0.11126528888258599</v>
      </c>
      <c r="AH46" s="5">
        <v>-3.3244408336817201E-3</v>
      </c>
      <c r="AI46" s="5">
        <v>0.17680349001793999</v>
      </c>
      <c r="AJ46" s="5">
        <v>0.28594664500443001</v>
      </c>
      <c r="AK46" s="5">
        <v>5.5882118556999497E-2</v>
      </c>
      <c r="AL46" s="5">
        <v>0.61668544609528997</v>
      </c>
      <c r="AM46" s="5">
        <v>-0.52719457471039499</v>
      </c>
      <c r="AN46" s="5">
        <v>-0.123658725961453</v>
      </c>
      <c r="AO46" s="5">
        <v>0.25472951246825598</v>
      </c>
      <c r="AP46" s="5">
        <v>-0.40068618052471699</v>
      </c>
      <c r="AQ46" s="5">
        <v>0.501925998049225</v>
      </c>
      <c r="AR46" s="5">
        <v>0.35967119603305597</v>
      </c>
      <c r="AS46" s="5">
        <v>-8.2620376031847298E-2</v>
      </c>
      <c r="AT46" s="5">
        <v>1</v>
      </c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</row>
    <row r="47" spans="1:389" x14ac:dyDescent="0.45">
      <c r="A47" s="4" t="str">
        <f ca="1">"BMU / beta2dist in "&amp;CELL("address",'damages-1990'!$K$24)</f>
        <v>BMU / beta2dist in '[BHM betas v3pd.xlsx]damages-1990'!$K$24</v>
      </c>
      <c r="B47" s="6">
        <v>1.4566342926839E-3</v>
      </c>
      <c r="C47" s="5">
        <v>-0.111526161757024</v>
      </c>
      <c r="D47" s="5">
        <v>7.6092973689878704E-2</v>
      </c>
      <c r="E47" s="5">
        <v>-0.26300132326014197</v>
      </c>
      <c r="F47" s="5">
        <v>-1.2334863767326201E-2</v>
      </c>
      <c r="G47" s="5">
        <v>-3.0611390540881699E-2</v>
      </c>
      <c r="H47" s="5">
        <v>0.20866971286939101</v>
      </c>
      <c r="I47" s="5">
        <v>-0.26085986131517402</v>
      </c>
      <c r="J47" s="5">
        <v>-1.32167226929247E-2</v>
      </c>
      <c r="K47" s="5">
        <v>-9.6858187929433903E-2</v>
      </c>
      <c r="L47" s="5">
        <v>-0.23689096425615599</v>
      </c>
      <c r="M47" s="5">
        <v>0.28868886384639503</v>
      </c>
      <c r="N47" s="5">
        <v>-1.93383693825195E-2</v>
      </c>
      <c r="O47" s="5">
        <v>1.3477414697540499E-2</v>
      </c>
      <c r="P47" s="5">
        <v>0.22908310551524699</v>
      </c>
      <c r="Q47" s="5">
        <v>-0.34247742883592402</v>
      </c>
      <c r="R47" s="5">
        <v>-1.0335855841245099E-2</v>
      </c>
      <c r="S47" s="5">
        <v>-0.2095589331754</v>
      </c>
      <c r="T47" s="5">
        <v>0.295817945997638</v>
      </c>
      <c r="U47" s="5">
        <v>-0.36765603212215298</v>
      </c>
      <c r="V47" s="5">
        <v>4.5912884744045E-2</v>
      </c>
      <c r="W47" s="5">
        <v>-0.15943192825095601</v>
      </c>
      <c r="X47" s="5">
        <v>0.123924045998854</v>
      </c>
      <c r="Y47" s="5">
        <v>-0.24847193901727899</v>
      </c>
      <c r="Z47" s="5">
        <v>0.19182128181762201</v>
      </c>
      <c r="AA47" s="5">
        <v>-0.26502738699223699</v>
      </c>
      <c r="AB47" s="5">
        <v>5.4930544765869803E-2</v>
      </c>
      <c r="AC47" s="5">
        <v>-0.168969170733998</v>
      </c>
      <c r="AD47" s="5">
        <v>9.2251831287317398E-2</v>
      </c>
      <c r="AE47" s="5">
        <v>-0.21943964617789699</v>
      </c>
      <c r="AF47" s="5">
        <v>-4.8954561772500699E-3</v>
      </c>
      <c r="AG47" s="5">
        <v>-0.13088962768943099</v>
      </c>
      <c r="AH47" s="5">
        <v>5.7092593272279703E-2</v>
      </c>
      <c r="AI47" s="5">
        <v>-0.112647782392578</v>
      </c>
      <c r="AJ47" s="5">
        <v>-0.107435203309915</v>
      </c>
      <c r="AK47" s="5">
        <v>-4.9081025573063201E-3</v>
      </c>
      <c r="AL47" s="5">
        <v>-0.43128274790404098</v>
      </c>
      <c r="AM47" s="5">
        <v>0.49024787332745601</v>
      </c>
      <c r="AN47" s="5">
        <v>0.13053298248701001</v>
      </c>
      <c r="AO47" s="5">
        <v>-0.203042432409478</v>
      </c>
      <c r="AP47" s="5">
        <v>0.33609579963603597</v>
      </c>
      <c r="AQ47" s="5">
        <v>-0.44830847560218501</v>
      </c>
      <c r="AR47" s="5">
        <v>-0.14377776731237399</v>
      </c>
      <c r="AS47" s="5">
        <v>4.6909097664078199E-2</v>
      </c>
      <c r="AT47" s="5">
        <v>-0.88832413493404006</v>
      </c>
      <c r="AU47" s="5">
        <v>1</v>
      </c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</row>
    <row r="48" spans="1:389" x14ac:dyDescent="0.45">
      <c r="A48" s="4" t="str">
        <f ca="1">"BOL / beta1dist in "&amp;CELL("address",'damages-1990'!$J$25)</f>
        <v>BOL / beta1dist in '[BHM betas v3pd.xlsx]damages-1990'!$J$25</v>
      </c>
      <c r="B48" s="6">
        <v>0.236049015760565</v>
      </c>
      <c r="C48" s="5">
        <v>0.25823088896377799</v>
      </c>
      <c r="D48" s="5">
        <v>0.54502421871333895</v>
      </c>
      <c r="E48" s="5">
        <v>-9.8600998798597406E-2</v>
      </c>
      <c r="F48" s="5">
        <v>0.17490923235509401</v>
      </c>
      <c r="G48" s="5">
        <v>0.16610727038699299</v>
      </c>
      <c r="H48" s="5">
        <v>-0.222301465720219</v>
      </c>
      <c r="I48" s="5">
        <v>0.19160385358037199</v>
      </c>
      <c r="J48" s="5">
        <v>0.51124672668507898</v>
      </c>
      <c r="K48" s="5">
        <v>-5.9426962285372698E-2</v>
      </c>
      <c r="L48" s="5">
        <v>0.41667568424106899</v>
      </c>
      <c r="M48" s="5">
        <v>2.64657302135499E-2</v>
      </c>
      <c r="N48" s="5">
        <v>-1.88197217450338E-2</v>
      </c>
      <c r="O48" s="5">
        <v>7.5845923205671406E-2</v>
      </c>
      <c r="P48" s="5">
        <v>0.29750983827862199</v>
      </c>
      <c r="Q48" s="5">
        <v>-7.4591638000763003E-2</v>
      </c>
      <c r="R48" s="5">
        <v>0.65392580054985205</v>
      </c>
      <c r="S48" s="5">
        <v>-0.23346120301255899</v>
      </c>
      <c r="T48" s="5">
        <v>-0.133372565750811</v>
      </c>
      <c r="U48" s="5">
        <v>0.168927467658953</v>
      </c>
      <c r="V48" s="5">
        <v>0.25121521935315799</v>
      </c>
      <c r="W48" s="5">
        <v>0.230602095081192</v>
      </c>
      <c r="X48" s="5">
        <v>0.54026053635650095</v>
      </c>
      <c r="Y48" s="5">
        <v>-8.7230993599433204E-2</v>
      </c>
      <c r="Z48" s="5">
        <v>-2.3681408029287698E-2</v>
      </c>
      <c r="AA48" s="5">
        <v>0.176992365546633</v>
      </c>
      <c r="AB48" s="5">
        <v>0.59753036408916205</v>
      </c>
      <c r="AC48" s="5">
        <v>-0.30536345119775399</v>
      </c>
      <c r="AD48" s="5">
        <v>0.49090677510564901</v>
      </c>
      <c r="AE48" s="5">
        <v>-0.16552775598026101</v>
      </c>
      <c r="AF48" s="5">
        <v>0.47867924708410398</v>
      </c>
      <c r="AG48" s="5">
        <v>-0.10010911571495799</v>
      </c>
      <c r="AH48" s="5">
        <v>0.1095819841707</v>
      </c>
      <c r="AI48" s="5">
        <v>0.17677865374794499</v>
      </c>
      <c r="AJ48" s="5">
        <v>0.50541487484855097</v>
      </c>
      <c r="AK48" s="5">
        <v>-5.3367243574982903E-2</v>
      </c>
      <c r="AL48" s="5">
        <v>0.42754324730857901</v>
      </c>
      <c r="AM48" s="5">
        <v>-0.175529760383445</v>
      </c>
      <c r="AN48" s="5">
        <v>-1.4936300958695701E-2</v>
      </c>
      <c r="AO48" s="5">
        <v>0.19551947230199501</v>
      </c>
      <c r="AP48" s="5">
        <v>-0.16121799357827099</v>
      </c>
      <c r="AQ48" s="5">
        <v>0.20524315426585099</v>
      </c>
      <c r="AR48" s="5">
        <v>0.58987167807431296</v>
      </c>
      <c r="AS48" s="5">
        <v>-0.28606267845294298</v>
      </c>
      <c r="AT48" s="5">
        <v>0.35092668052541498</v>
      </c>
      <c r="AU48" s="5">
        <v>-8.0057228651852205E-2</v>
      </c>
      <c r="AV48" s="5">
        <v>1</v>
      </c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</row>
    <row r="49" spans="1:389" x14ac:dyDescent="0.45">
      <c r="A49" s="4" t="str">
        <f ca="1">"BOL / beta2dist in "&amp;CELL("address",'damages-1990'!$K$25)</f>
        <v>BOL / beta2dist in '[BHM betas v3pd.xlsx]damages-1990'!$K$25</v>
      </c>
      <c r="B49" s="6">
        <v>-5.39059847514059E-2</v>
      </c>
      <c r="C49" s="5">
        <v>1.53904076110202E-2</v>
      </c>
      <c r="D49" s="5">
        <v>-0.24727107672514101</v>
      </c>
      <c r="E49" s="5">
        <v>0.35427646033622101</v>
      </c>
      <c r="F49" s="5">
        <v>-3.0880162074476102E-2</v>
      </c>
      <c r="G49" s="5">
        <v>-1.91516349259356E-2</v>
      </c>
      <c r="H49" s="5">
        <v>5.6792731177076297E-2</v>
      </c>
      <c r="I49" s="5">
        <v>-8.5119703463676505E-2</v>
      </c>
      <c r="J49" s="5">
        <v>-0.153175998474057</v>
      </c>
      <c r="K49" s="5">
        <v>0.18887619611908399</v>
      </c>
      <c r="L49" s="5">
        <v>-3.8016289540279302E-2</v>
      </c>
      <c r="M49" s="5">
        <v>-2.3205887385674698E-2</v>
      </c>
      <c r="N49" s="5">
        <v>-1.1633150938519E-2</v>
      </c>
      <c r="O49" s="5">
        <v>-4.4696442652578598E-2</v>
      </c>
      <c r="P49" s="5">
        <v>-0.36235785897054801</v>
      </c>
      <c r="Q49" s="5">
        <v>0.441409416014439</v>
      </c>
      <c r="R49" s="5">
        <v>-0.346976052224159</v>
      </c>
      <c r="S49" s="5">
        <v>0.47521339129530299</v>
      </c>
      <c r="T49" s="5">
        <v>-3.32714601581739E-2</v>
      </c>
      <c r="U49" s="5">
        <v>1.12102835860913E-2</v>
      </c>
      <c r="V49" s="5">
        <v>-9.4314768565691796E-3</v>
      </c>
      <c r="W49" s="5">
        <v>-8.8511407910057502E-2</v>
      </c>
      <c r="X49" s="5">
        <v>-0.28806479488918801</v>
      </c>
      <c r="Y49" s="5">
        <v>0.34374640518208699</v>
      </c>
      <c r="Z49" s="5">
        <v>-4.1220650593359699E-2</v>
      </c>
      <c r="AA49" s="5">
        <v>2.3564552530129498E-2</v>
      </c>
      <c r="AB49" s="5">
        <v>-0.44050181932425497</v>
      </c>
      <c r="AC49" s="5">
        <v>0.61727137042306202</v>
      </c>
      <c r="AD49" s="5">
        <v>-0.369973139810434</v>
      </c>
      <c r="AE49" s="5">
        <v>0.52015191757306001</v>
      </c>
      <c r="AF49" s="5">
        <v>-0.19819533471052</v>
      </c>
      <c r="AG49" s="5">
        <v>0.242782541827888</v>
      </c>
      <c r="AH49" s="5">
        <v>-1.5843712668542599E-2</v>
      </c>
      <c r="AI49" s="5">
        <v>-3.3423764658845799E-2</v>
      </c>
      <c r="AJ49" s="5">
        <v>-0.207290355161836</v>
      </c>
      <c r="AK49" s="5">
        <v>0.21043382295586699</v>
      </c>
      <c r="AL49" s="5">
        <v>-1.5110171244346399E-2</v>
      </c>
      <c r="AM49" s="5">
        <v>-1.33567975844264E-4</v>
      </c>
      <c r="AN49" s="5">
        <v>-1.5559066309653201E-2</v>
      </c>
      <c r="AO49" s="5">
        <v>-1.9808127306335799E-2</v>
      </c>
      <c r="AP49" s="5">
        <v>-4.0826651218601302E-2</v>
      </c>
      <c r="AQ49" s="5">
        <v>3.6123313260895198E-2</v>
      </c>
      <c r="AR49" s="5">
        <v>-0.25440463529185398</v>
      </c>
      <c r="AS49" s="5">
        <v>0.367924764545561</v>
      </c>
      <c r="AT49" s="5">
        <v>5.8549902767576198E-2</v>
      </c>
      <c r="AU49" s="5">
        <v>-0.108729121539831</v>
      </c>
      <c r="AV49" s="5">
        <v>-0.69588804514551605</v>
      </c>
      <c r="AW49" s="5">
        <v>1</v>
      </c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</row>
    <row r="50" spans="1:389" x14ac:dyDescent="0.45">
      <c r="A50" s="4" t="str">
        <f ca="1">"BRA / beta1dist in "&amp;CELL("address",'damages-1990'!$J$26)</f>
        <v>BRA / beta1dist in '[BHM betas v3pd.xlsx]damages-1990'!$J$26</v>
      </c>
      <c r="B50" s="6">
        <v>0.18850144754266099</v>
      </c>
      <c r="C50" s="5">
        <v>0.25719349836149702</v>
      </c>
      <c r="D50" s="5">
        <v>0.64872799383607704</v>
      </c>
      <c r="E50" s="5">
        <v>-0.24958075439694399</v>
      </c>
      <c r="F50" s="5">
        <v>0.120522707855793</v>
      </c>
      <c r="G50" s="5">
        <v>0.17829209769653201</v>
      </c>
      <c r="H50" s="5">
        <v>-0.271915766695216</v>
      </c>
      <c r="I50" s="5">
        <v>0.21692231107183901</v>
      </c>
      <c r="J50" s="5">
        <v>0.55877983666071296</v>
      </c>
      <c r="K50" s="5">
        <v>-0.131716758411725</v>
      </c>
      <c r="L50" s="5">
        <v>0.37148823805752001</v>
      </c>
      <c r="M50" s="5">
        <v>5.0194271430975802E-2</v>
      </c>
      <c r="N50" s="5">
        <v>-1.27657784540869E-2</v>
      </c>
      <c r="O50" s="5">
        <v>-2.7208897538582898E-3</v>
      </c>
      <c r="P50" s="5">
        <v>0.333155318605587</v>
      </c>
      <c r="Q50" s="5">
        <v>-0.136460848521258</v>
      </c>
      <c r="R50" s="5">
        <v>0.65589057124309202</v>
      </c>
      <c r="S50" s="5">
        <v>-0.27116535945342801</v>
      </c>
      <c r="T50" s="5">
        <v>-0.113117021803183</v>
      </c>
      <c r="U50" s="5">
        <v>9.8635323738181804E-2</v>
      </c>
      <c r="V50" s="5">
        <v>0.20336998532414699</v>
      </c>
      <c r="W50" s="5">
        <v>0.23664954847501399</v>
      </c>
      <c r="X50" s="5">
        <v>0.63041758859902197</v>
      </c>
      <c r="Y50" s="5">
        <v>-0.23183535374177</v>
      </c>
      <c r="Z50" s="5">
        <v>-7.90889497839522E-2</v>
      </c>
      <c r="AA50" s="5">
        <v>0.18646937211664599</v>
      </c>
      <c r="AB50" s="5">
        <v>0.614550324796586</v>
      </c>
      <c r="AC50" s="5">
        <v>-0.34268493187735</v>
      </c>
      <c r="AD50" s="5">
        <v>0.539972063590891</v>
      </c>
      <c r="AE50" s="5">
        <v>-0.23510524632500401</v>
      </c>
      <c r="AF50" s="5">
        <v>0.462573083452821</v>
      </c>
      <c r="AG50" s="5">
        <v>-0.117066111238673</v>
      </c>
      <c r="AH50" s="5">
        <v>7.9742185517031494E-2</v>
      </c>
      <c r="AI50" s="5">
        <v>0.152089899361562</v>
      </c>
      <c r="AJ50" s="5">
        <v>0.56025951124733997</v>
      </c>
      <c r="AK50" s="5">
        <v>-0.12142649924882799</v>
      </c>
      <c r="AL50" s="5">
        <v>0.457315665596353</v>
      </c>
      <c r="AM50" s="5">
        <v>-0.225561551171064</v>
      </c>
      <c r="AN50" s="5">
        <v>-6.8580290564550098E-3</v>
      </c>
      <c r="AO50" s="5">
        <v>0.124298924218825</v>
      </c>
      <c r="AP50" s="5">
        <v>-0.196780733827878</v>
      </c>
      <c r="AQ50" s="5">
        <v>0.20449520912119101</v>
      </c>
      <c r="AR50" s="5">
        <v>0.66956036760555304</v>
      </c>
      <c r="AS50" s="5">
        <v>-0.383995719211568</v>
      </c>
      <c r="AT50" s="5">
        <v>0.33671330669084698</v>
      </c>
      <c r="AU50" s="5">
        <v>-5.83354436004027E-2</v>
      </c>
      <c r="AV50" s="5">
        <v>0.80415216296713699</v>
      </c>
      <c r="AW50" s="5">
        <v>-0.47806271641889703</v>
      </c>
      <c r="AX50" s="5">
        <v>1</v>
      </c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</row>
    <row r="51" spans="1:389" x14ac:dyDescent="0.45">
      <c r="A51" s="4" t="str">
        <f ca="1">"BRA / beta2dist in "&amp;CELL("address",'damages-1990'!$K$26)</f>
        <v>BRA / beta2dist in '[BHM betas v3pd.xlsx]damages-1990'!$K$26</v>
      </c>
      <c r="B51" s="6">
        <v>-5.0820510574733101E-2</v>
      </c>
      <c r="C51" s="5">
        <v>2.69886097305762E-2</v>
      </c>
      <c r="D51" s="5">
        <v>-0.41492122832136902</v>
      </c>
      <c r="E51" s="5">
        <v>0.57341612104821105</v>
      </c>
      <c r="F51" s="5">
        <v>-6.2076301911356699E-2</v>
      </c>
      <c r="G51" s="5">
        <v>4.06121927548726E-2</v>
      </c>
      <c r="H51" s="5">
        <v>6.9972989819732406E-2</v>
      </c>
      <c r="I51" s="5">
        <v>-9.7665652120872901E-2</v>
      </c>
      <c r="J51" s="5">
        <v>-0.224076378165562</v>
      </c>
      <c r="K51" s="5">
        <v>0.288771235273239</v>
      </c>
      <c r="L51" s="5">
        <v>-4.3746019478412598E-2</v>
      </c>
      <c r="M51" s="5">
        <v>-1.4117485875721E-2</v>
      </c>
      <c r="N51" s="5">
        <v>-0.11739644465008001</v>
      </c>
      <c r="O51" s="5">
        <v>0.129515386295108</v>
      </c>
      <c r="P51" s="5">
        <v>-0.384636276105153</v>
      </c>
      <c r="Q51" s="5">
        <v>0.48848634723463102</v>
      </c>
      <c r="R51" s="5">
        <v>-0.362373316175435</v>
      </c>
      <c r="S51" s="5">
        <v>0.51640976951886897</v>
      </c>
      <c r="T51" s="5">
        <v>-0.122760314176543</v>
      </c>
      <c r="U51" s="5">
        <v>0.13896098680374899</v>
      </c>
      <c r="V51" s="5">
        <v>-1.46287064970122E-2</v>
      </c>
      <c r="W51" s="5">
        <v>-6.83555189092548E-2</v>
      </c>
      <c r="X51" s="5">
        <v>-0.446191368620527</v>
      </c>
      <c r="Y51" s="5">
        <v>0.563526687363192</v>
      </c>
      <c r="Z51" s="5">
        <v>-3.4900689096122303E-2</v>
      </c>
      <c r="AA51" s="5">
        <v>4.0133615310046E-2</v>
      </c>
      <c r="AB51" s="5">
        <v>-0.44214044279273401</v>
      </c>
      <c r="AC51" s="5">
        <v>0.62984977673740905</v>
      </c>
      <c r="AD51" s="5">
        <v>-0.405219555403945</v>
      </c>
      <c r="AE51" s="5">
        <v>0.56592798321405602</v>
      </c>
      <c r="AF51" s="5">
        <v>-0.15894699976021401</v>
      </c>
      <c r="AG51" s="5">
        <v>0.23877882695602401</v>
      </c>
      <c r="AH51" s="5">
        <v>-7.7556931575663596E-2</v>
      </c>
      <c r="AI51" s="5">
        <v>7.2426618506119297E-2</v>
      </c>
      <c r="AJ51" s="5">
        <v>-0.29334769603641497</v>
      </c>
      <c r="AK51" s="5">
        <v>0.30538002948266202</v>
      </c>
      <c r="AL51" s="5">
        <v>-0.101375768427623</v>
      </c>
      <c r="AM51" s="5">
        <v>0.12065341759684101</v>
      </c>
      <c r="AN51" s="5">
        <v>-0.12909454910856899</v>
      </c>
      <c r="AO51" s="5">
        <v>0.14759370086086501</v>
      </c>
      <c r="AP51" s="5">
        <v>-3.4225708365393903E-2</v>
      </c>
      <c r="AQ51" s="5">
        <v>4.4728052181038501E-2</v>
      </c>
      <c r="AR51" s="5">
        <v>-0.38656115520720002</v>
      </c>
      <c r="AS51" s="5">
        <v>0.52020967167436605</v>
      </c>
      <c r="AT51" s="5">
        <v>2.9621322231351201E-2</v>
      </c>
      <c r="AU51" s="5">
        <v>-9.2690748180253094E-2</v>
      </c>
      <c r="AV51" s="5">
        <v>-0.45094205071577198</v>
      </c>
      <c r="AW51" s="5">
        <v>0.69831272933991995</v>
      </c>
      <c r="AX51" s="5">
        <v>-0.70626084352665397</v>
      </c>
      <c r="AY51" s="5">
        <v>1</v>
      </c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</row>
    <row r="52" spans="1:389" x14ac:dyDescent="0.45">
      <c r="A52" s="4" t="str">
        <f ca="1">"BRB / beta1dist in "&amp;CELL("address",'damages-1990'!$J$27)</f>
        <v>BRB / beta1dist in '[BHM betas v3pd.xlsx]damages-1990'!$J$27</v>
      </c>
      <c r="B52" s="6">
        <v>0.16029568481525</v>
      </c>
      <c r="C52" s="5">
        <v>-2.4409403268553599E-2</v>
      </c>
      <c r="D52" s="5">
        <v>0.47732002242377403</v>
      </c>
      <c r="E52" s="5">
        <v>-0.41727283765193801</v>
      </c>
      <c r="F52" s="5">
        <v>4.3379450364254099E-2</v>
      </c>
      <c r="G52" s="5">
        <v>0.119034891523127</v>
      </c>
      <c r="H52" s="5">
        <v>-0.18017525835471801</v>
      </c>
      <c r="I52" s="5">
        <v>0.19185580127926799</v>
      </c>
      <c r="J52" s="5">
        <v>0.408064186313078</v>
      </c>
      <c r="K52" s="5">
        <v>-0.283408181628653</v>
      </c>
      <c r="L52" s="5">
        <v>0.16215142870388299</v>
      </c>
      <c r="M52" s="5">
        <v>3.4891427118381398E-2</v>
      </c>
      <c r="N52" s="5">
        <v>9.18763035829957E-2</v>
      </c>
      <c r="O52" s="5">
        <v>-0.14862587668808699</v>
      </c>
      <c r="P52" s="5">
        <v>0.73727867341866604</v>
      </c>
      <c r="Q52" s="5">
        <v>-0.63866243030113601</v>
      </c>
      <c r="R52" s="5">
        <v>0.290965179803643</v>
      </c>
      <c r="S52" s="5">
        <v>-0.213394501793325</v>
      </c>
      <c r="T52" s="5">
        <v>0.22306243285636199</v>
      </c>
      <c r="U52" s="5">
        <v>-0.27714178353574498</v>
      </c>
      <c r="V52" s="5">
        <v>0.11490114399215701</v>
      </c>
      <c r="W52" s="5">
        <v>7.2155714992384601E-2</v>
      </c>
      <c r="X52" s="5">
        <v>0.40946549691344702</v>
      </c>
      <c r="Y52" s="5">
        <v>-0.30927392331900799</v>
      </c>
      <c r="Z52" s="5">
        <v>3.8321378345650199E-2</v>
      </c>
      <c r="AA52" s="5">
        <v>-3.4192413163903002E-3</v>
      </c>
      <c r="AB52" s="5">
        <v>0.46851327627431799</v>
      </c>
      <c r="AC52" s="5">
        <v>-0.50825226755395803</v>
      </c>
      <c r="AD52" s="5">
        <v>0.480896763364901</v>
      </c>
      <c r="AE52" s="5">
        <v>-0.47971493919373898</v>
      </c>
      <c r="AF52" s="5">
        <v>0.358170081245691</v>
      </c>
      <c r="AG52" s="5">
        <v>-0.30230518398129103</v>
      </c>
      <c r="AH52" s="5">
        <v>8.0239254492371501E-2</v>
      </c>
      <c r="AI52" s="5">
        <v>2.5280900491793899E-2</v>
      </c>
      <c r="AJ52" s="5">
        <v>0.31805194611826998</v>
      </c>
      <c r="AK52" s="5">
        <v>-0.16584998614219901</v>
      </c>
      <c r="AL52" s="5">
        <v>-4.0844739337365203E-2</v>
      </c>
      <c r="AM52" s="5">
        <v>0.196251642324515</v>
      </c>
      <c r="AN52" s="5">
        <v>0.16079938796243501</v>
      </c>
      <c r="AO52" s="5">
        <v>-0.16141062976885001</v>
      </c>
      <c r="AP52" s="5">
        <v>-3.2469431925778301E-2</v>
      </c>
      <c r="AQ52" s="5">
        <v>1.4056788462998401E-2</v>
      </c>
      <c r="AR52" s="5">
        <v>0.303605704399596</v>
      </c>
      <c r="AS52" s="5">
        <v>-0.213723941779386</v>
      </c>
      <c r="AT52" s="5">
        <v>-0.13640053742477101</v>
      </c>
      <c r="AU52" s="5">
        <v>0.241872615363522</v>
      </c>
      <c r="AV52" s="5">
        <v>0.42043132436577102</v>
      </c>
      <c r="AW52" s="5">
        <v>-0.41445539277410798</v>
      </c>
      <c r="AX52" s="5">
        <v>0.47628379996479803</v>
      </c>
      <c r="AY52" s="5">
        <v>-0.46686736283973901</v>
      </c>
      <c r="AZ52" s="5">
        <v>1</v>
      </c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</row>
    <row r="53" spans="1:389" x14ac:dyDescent="0.45">
      <c r="A53" s="4" t="str">
        <f ca="1">"BRB / beta2dist in "&amp;CELL("address",'damages-1990'!$K$27)</f>
        <v>BRB / beta2dist in '[BHM betas v3pd.xlsx]damages-1990'!$K$27</v>
      </c>
      <c r="B53" s="6">
        <v>-7.0183138923040594E-2</v>
      </c>
      <c r="C53" s="5">
        <v>0.182124999837943</v>
      </c>
      <c r="D53" s="5">
        <v>-0.27519302350966501</v>
      </c>
      <c r="E53" s="5">
        <v>0.51652568021803702</v>
      </c>
      <c r="F53" s="5">
        <v>2.93994451154573E-2</v>
      </c>
      <c r="G53" s="5">
        <v>-4.4231457467045598E-2</v>
      </c>
      <c r="H53" s="5">
        <v>0.13011302077790499</v>
      </c>
      <c r="I53" s="5">
        <v>-0.18821805622007101</v>
      </c>
      <c r="J53" s="5">
        <v>-0.24542680221316299</v>
      </c>
      <c r="K53" s="5">
        <v>0.39927526172141398</v>
      </c>
      <c r="L53" s="5">
        <v>-5.5178533376481296E-3</v>
      </c>
      <c r="M53" s="5">
        <v>2.9018895894833599E-2</v>
      </c>
      <c r="N53" s="5">
        <v>-5.7721904025939103E-2</v>
      </c>
      <c r="O53" s="5">
        <v>9.4312533239172505E-2</v>
      </c>
      <c r="P53" s="5">
        <v>-0.62730430846937502</v>
      </c>
      <c r="Q53" s="5">
        <v>0.75842805349303499</v>
      </c>
      <c r="R53" s="5">
        <v>-0.105180025439716</v>
      </c>
      <c r="S53" s="5">
        <v>0.31365169024957601</v>
      </c>
      <c r="T53" s="5">
        <v>-0.30306772675471899</v>
      </c>
      <c r="U53" s="5">
        <v>0.35345015051637702</v>
      </c>
      <c r="V53" s="5">
        <v>6.7989538127413902E-4</v>
      </c>
      <c r="W53" s="5">
        <v>1.99655353114453E-2</v>
      </c>
      <c r="X53" s="5">
        <v>-0.219591630755506</v>
      </c>
      <c r="Y53" s="5">
        <v>0.40250537041599899</v>
      </c>
      <c r="Z53" s="5">
        <v>-4.6423333127638397E-2</v>
      </c>
      <c r="AA53" s="5">
        <v>6.3671350389607098E-2</v>
      </c>
      <c r="AB53" s="5">
        <v>-0.33661253595298202</v>
      </c>
      <c r="AC53" s="5">
        <v>0.62677427695585697</v>
      </c>
      <c r="AD53" s="5">
        <v>-0.37625170443630501</v>
      </c>
      <c r="AE53" s="5">
        <v>0.62949601407716704</v>
      </c>
      <c r="AF53" s="5">
        <v>-0.22858907385146399</v>
      </c>
      <c r="AG53" s="5">
        <v>0.42211558353455902</v>
      </c>
      <c r="AH53" s="5">
        <v>-2.3808999020478099E-2</v>
      </c>
      <c r="AI53" s="5">
        <v>3.6673817233215902E-2</v>
      </c>
      <c r="AJ53" s="5">
        <v>-0.20209501779035099</v>
      </c>
      <c r="AK53" s="5">
        <v>0.310954699853697</v>
      </c>
      <c r="AL53" s="5">
        <v>0.28629842757958002</v>
      </c>
      <c r="AM53" s="5">
        <v>-0.31424650225210199</v>
      </c>
      <c r="AN53" s="5">
        <v>-0.18749134307881099</v>
      </c>
      <c r="AO53" s="5">
        <v>0.25648797814297802</v>
      </c>
      <c r="AP53" s="5">
        <v>-0.120957241079726</v>
      </c>
      <c r="AQ53" s="5">
        <v>0.15594719783122099</v>
      </c>
      <c r="AR53" s="5">
        <v>-0.140036182359357</v>
      </c>
      <c r="AS53" s="5">
        <v>0.27589699074320101</v>
      </c>
      <c r="AT53" s="5">
        <v>0.31475636652796601</v>
      </c>
      <c r="AU53" s="5">
        <v>-0.31752691649102199</v>
      </c>
      <c r="AV53" s="5">
        <v>-0.216586916092397</v>
      </c>
      <c r="AW53" s="5">
        <v>0.51181604301000105</v>
      </c>
      <c r="AX53" s="5">
        <v>-0.27906110753820501</v>
      </c>
      <c r="AY53" s="5">
        <v>0.56355951861258502</v>
      </c>
      <c r="AZ53" s="5">
        <v>-0.86133934492874098</v>
      </c>
      <c r="BA53" s="5">
        <v>1</v>
      </c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</row>
    <row r="54" spans="1:389" x14ac:dyDescent="0.45">
      <c r="A54" s="4" t="str">
        <f ca="1">"BRN / beta1dist in "&amp;CELL("address",'damages-1990'!$J$28)</f>
        <v>BRN / beta1dist in '[BHM betas v3pd.xlsx]damages-1990'!$J$28</v>
      </c>
      <c r="B54" s="6">
        <v>0.23413647232816101</v>
      </c>
      <c r="C54" s="5">
        <v>0.130662931102699</v>
      </c>
      <c r="D54" s="5">
        <v>0.54386746185687396</v>
      </c>
      <c r="E54" s="5">
        <v>-0.164303984915076</v>
      </c>
      <c r="F54" s="5">
        <v>0.223066390884435</v>
      </c>
      <c r="G54" s="5">
        <v>-1.5237976983581101E-2</v>
      </c>
      <c r="H54" s="5">
        <v>-0.19015566339540499</v>
      </c>
      <c r="I54" s="5">
        <v>0.15472764793133401</v>
      </c>
      <c r="J54" s="5">
        <v>0.58874990830717899</v>
      </c>
      <c r="K54" s="5">
        <v>-0.242915574373745</v>
      </c>
      <c r="L54" s="5">
        <v>0.40958420232858</v>
      </c>
      <c r="M54" s="5">
        <v>-5.5966227276609E-2</v>
      </c>
      <c r="N54" s="5">
        <v>-8.3074175463397501E-2</v>
      </c>
      <c r="O54" s="5">
        <v>0.10292546973955199</v>
      </c>
      <c r="P54" s="5">
        <v>0.20896493811933201</v>
      </c>
      <c r="Q54" s="5">
        <v>-1.5293929842364501E-2</v>
      </c>
      <c r="R54" s="5">
        <v>0.53798769417632497</v>
      </c>
      <c r="S54" s="5">
        <v>-0.18126746463798199</v>
      </c>
      <c r="T54" s="5">
        <v>-4.9065309008399297E-2</v>
      </c>
      <c r="U54" s="5">
        <v>2.80831390696041E-2</v>
      </c>
      <c r="V54" s="5">
        <v>0.20622967614013299</v>
      </c>
      <c r="W54" s="5">
        <v>0.184481152920589</v>
      </c>
      <c r="X54" s="5">
        <v>0.475899305325716</v>
      </c>
      <c r="Y54" s="5">
        <v>-0.10857207716032601</v>
      </c>
      <c r="Z54" s="5">
        <v>1.73328403186826E-2</v>
      </c>
      <c r="AA54" s="5">
        <v>6.0593532197691202E-2</v>
      </c>
      <c r="AB54" s="5">
        <v>0.50945432209391195</v>
      </c>
      <c r="AC54" s="5">
        <v>-0.19042456452767101</v>
      </c>
      <c r="AD54" s="5">
        <v>0.53799830568382301</v>
      </c>
      <c r="AE54" s="5">
        <v>-0.18031160290784101</v>
      </c>
      <c r="AF54" s="5">
        <v>0.27679476826435401</v>
      </c>
      <c r="AG54" s="5">
        <v>-2.2861906090179802E-3</v>
      </c>
      <c r="AH54" s="5">
        <v>0.14336424483033</v>
      </c>
      <c r="AI54" s="5">
        <v>1.8400366921586E-2</v>
      </c>
      <c r="AJ54" s="5">
        <v>0.48033215556332398</v>
      </c>
      <c r="AK54" s="5">
        <v>-0.14939803672625801</v>
      </c>
      <c r="AL54" s="5">
        <v>0.31595411496542503</v>
      </c>
      <c r="AM54" s="5">
        <v>-0.11117425532208899</v>
      </c>
      <c r="AN54" s="5">
        <v>1.42379698995003E-2</v>
      </c>
      <c r="AO54" s="5">
        <v>8.7003321201155601E-2</v>
      </c>
      <c r="AP54" s="5">
        <v>7.4747302464271397E-3</v>
      </c>
      <c r="AQ54" s="5">
        <v>-2.2668516192673099E-2</v>
      </c>
      <c r="AR54" s="5">
        <v>0.56257424500209996</v>
      </c>
      <c r="AS54" s="5">
        <v>-0.290993544408504</v>
      </c>
      <c r="AT54" s="5">
        <v>0.169228659366258</v>
      </c>
      <c r="AU54" s="5">
        <v>9.13235770657983E-2</v>
      </c>
      <c r="AV54" s="5">
        <v>0.485134712330342</v>
      </c>
      <c r="AW54" s="5">
        <v>-0.105705947787195</v>
      </c>
      <c r="AX54" s="5">
        <v>0.58837070351253395</v>
      </c>
      <c r="AY54" s="5">
        <v>-0.247901488369968</v>
      </c>
      <c r="AZ54" s="5">
        <v>0.29853442977713301</v>
      </c>
      <c r="BA54" s="5">
        <v>-0.11125490940522</v>
      </c>
      <c r="BB54" s="5">
        <v>1</v>
      </c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</row>
    <row r="55" spans="1:389" x14ac:dyDescent="0.45">
      <c r="A55" s="4" t="str">
        <f ca="1">"BRN / beta2dist in "&amp;CELL("address",'damages-1990'!$K$28)</f>
        <v>BRN / beta2dist in '[BHM betas v3pd.xlsx]damages-1990'!$K$28</v>
      </c>
      <c r="B55" s="6">
        <v>-0.122455535216489</v>
      </c>
      <c r="C55" s="5">
        <v>0.23047904819374501</v>
      </c>
      <c r="D55" s="5">
        <v>-0.21191354866661899</v>
      </c>
      <c r="E55" s="5">
        <v>0.40519675027126401</v>
      </c>
      <c r="F55" s="5">
        <v>-0.121342445567545</v>
      </c>
      <c r="G55" s="5">
        <v>0.18517747530787201</v>
      </c>
      <c r="H55" s="5">
        <v>9.0193788222928395E-2</v>
      </c>
      <c r="I55" s="5">
        <v>-0.144136677485837</v>
      </c>
      <c r="J55" s="5">
        <v>-0.28765321903761798</v>
      </c>
      <c r="K55" s="5">
        <v>0.45236633373291701</v>
      </c>
      <c r="L55" s="5">
        <v>-8.5828074829756296E-2</v>
      </c>
      <c r="M55" s="5">
        <v>0.130366036346795</v>
      </c>
      <c r="N55" s="5">
        <v>3.2262620383017998E-2</v>
      </c>
      <c r="O55" s="5">
        <v>-6.6819757426469895E-2</v>
      </c>
      <c r="P55" s="5">
        <v>-0.18671322737349999</v>
      </c>
      <c r="Q55" s="5">
        <v>0.30656293096680398</v>
      </c>
      <c r="R55" s="5">
        <v>-0.13171328103662999</v>
      </c>
      <c r="S55" s="5">
        <v>0.302196941707992</v>
      </c>
      <c r="T55" s="5">
        <v>-0.14430636056097201</v>
      </c>
      <c r="U55" s="5">
        <v>0.169820341451979</v>
      </c>
      <c r="V55" s="5">
        <v>-1.7265335135469202E-2</v>
      </c>
      <c r="W55" s="5">
        <v>1.7342588585042E-2</v>
      </c>
      <c r="X55" s="5">
        <v>-0.16275895123804199</v>
      </c>
      <c r="Y55" s="5">
        <v>0.31947452026188999</v>
      </c>
      <c r="Z55" s="5">
        <v>-7.6410152071395204E-2</v>
      </c>
      <c r="AA55" s="5">
        <v>0.11025708018961999</v>
      </c>
      <c r="AB55" s="5">
        <v>-0.21773646607960501</v>
      </c>
      <c r="AC55" s="5">
        <v>0.37054793668848801</v>
      </c>
      <c r="AD55" s="5">
        <v>-0.327336587731064</v>
      </c>
      <c r="AE55" s="5">
        <v>0.45294721325237902</v>
      </c>
      <c r="AF55" s="5">
        <v>-6.4020271654505701E-3</v>
      </c>
      <c r="AG55" s="5">
        <v>0.18500949863584601</v>
      </c>
      <c r="AH55" s="5">
        <v>-9.0850570546557693E-2</v>
      </c>
      <c r="AI55" s="5">
        <v>0.15053629493812401</v>
      </c>
      <c r="AJ55" s="5">
        <v>-0.21767150295141</v>
      </c>
      <c r="AK55" s="5">
        <v>0.36149063798187803</v>
      </c>
      <c r="AL55" s="5">
        <v>0.16613852653354499</v>
      </c>
      <c r="AM55" s="5">
        <v>-0.14146900674830701</v>
      </c>
      <c r="AN55" s="5">
        <v>-9.7827383672093801E-2</v>
      </c>
      <c r="AO55" s="5">
        <v>0.131333510993841</v>
      </c>
      <c r="AP55" s="5">
        <v>-0.27654904230736599</v>
      </c>
      <c r="AQ55" s="5">
        <v>0.331993406195286</v>
      </c>
      <c r="AR55" s="5">
        <v>-0.21444594219563101</v>
      </c>
      <c r="AS55" s="5">
        <v>0.34790094095097601</v>
      </c>
      <c r="AT55" s="5">
        <v>0.28975670057182701</v>
      </c>
      <c r="AU55" s="5">
        <v>-0.33296379045083602</v>
      </c>
      <c r="AV55" s="5">
        <v>-2.0546685051504102E-2</v>
      </c>
      <c r="AW55" s="5">
        <v>0.16837135527427299</v>
      </c>
      <c r="AX55" s="5">
        <v>-0.171357298923839</v>
      </c>
      <c r="AY55" s="5">
        <v>0.36063889881955202</v>
      </c>
      <c r="AZ55" s="5">
        <v>-0.25757421583085299</v>
      </c>
      <c r="BA55" s="5">
        <v>0.375195829751443</v>
      </c>
      <c r="BB55" s="5">
        <v>-0.705378485058058</v>
      </c>
      <c r="BC55" s="5">
        <v>1</v>
      </c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</row>
    <row r="56" spans="1:389" x14ac:dyDescent="0.45">
      <c r="A56" s="4" t="str">
        <f ca="1">"BTN / beta1dist in "&amp;CELL("address",'damages-1990'!$J$29)</f>
        <v>BTN / beta1dist in '[BHM betas v3pd.xlsx]damages-1990'!$J$29</v>
      </c>
      <c r="B56" s="6">
        <v>0.60480417888971005</v>
      </c>
      <c r="C56" s="5">
        <v>-0.29899345660695398</v>
      </c>
      <c r="D56" s="5">
        <v>0.16777168675854301</v>
      </c>
      <c r="E56" s="5">
        <v>-9.6868511479406394E-2</v>
      </c>
      <c r="F56" s="5">
        <v>0.670017561444052</v>
      </c>
      <c r="G56" s="5">
        <v>-0.38022440162204701</v>
      </c>
      <c r="H56" s="5">
        <v>0.36546250233123001</v>
      </c>
      <c r="I56" s="5">
        <v>-0.117332322294467</v>
      </c>
      <c r="J56" s="5">
        <v>9.02300805062871E-2</v>
      </c>
      <c r="K56" s="5">
        <v>-8.2983757888303505E-2</v>
      </c>
      <c r="L56" s="5">
        <v>0.46024791925255898</v>
      </c>
      <c r="M56" s="5">
        <v>-0.18282404949881501</v>
      </c>
      <c r="N56" s="5">
        <v>0.445696733378319</v>
      </c>
      <c r="O56" s="5">
        <v>-8.4970512870719703E-2</v>
      </c>
      <c r="P56" s="5">
        <v>4.1334170401056997E-2</v>
      </c>
      <c r="Q56" s="5">
        <v>-1.6546375894534799E-2</v>
      </c>
      <c r="R56" s="5">
        <v>0.17706383819816399</v>
      </c>
      <c r="S56" s="5">
        <v>-8.7679103381666304E-2</v>
      </c>
      <c r="T56" s="5">
        <v>0.442626591188862</v>
      </c>
      <c r="U56" s="5">
        <v>-0.20172151075282399</v>
      </c>
      <c r="V56" s="5">
        <v>0.59349923597713306</v>
      </c>
      <c r="W56" s="5">
        <v>-0.28738105014488402</v>
      </c>
      <c r="X56" s="5">
        <v>0.16705045785811001</v>
      </c>
      <c r="Y56" s="5">
        <v>-6.0452077305572997E-2</v>
      </c>
      <c r="Z56" s="5">
        <v>0.56783814795671606</v>
      </c>
      <c r="AA56" s="5">
        <v>-0.27963134776686599</v>
      </c>
      <c r="AB56" s="5">
        <v>7.4211293442794798E-2</v>
      </c>
      <c r="AC56" s="5">
        <v>-5.6868594830252202E-2</v>
      </c>
      <c r="AD56" s="5">
        <v>0.16368200921026499</v>
      </c>
      <c r="AE56" s="5">
        <v>-0.11824475761151</v>
      </c>
      <c r="AF56" s="5">
        <v>1.6540338090913001E-2</v>
      </c>
      <c r="AG56" s="5">
        <v>-9.2541571547070101E-3</v>
      </c>
      <c r="AH56" s="5">
        <v>0.67378291555637804</v>
      </c>
      <c r="AI56" s="5">
        <v>-0.37608622529416702</v>
      </c>
      <c r="AJ56" s="5">
        <v>6.6705612311601506E-2</v>
      </c>
      <c r="AK56" s="5">
        <v>-8.8625086963868796E-2</v>
      </c>
      <c r="AL56" s="5">
        <v>-1.5745253403285399E-2</v>
      </c>
      <c r="AM56" s="5">
        <v>4.2859308841907501E-2</v>
      </c>
      <c r="AN56" s="5">
        <v>0.59145941950394598</v>
      </c>
      <c r="AO56" s="5">
        <v>-0.28219374872094899</v>
      </c>
      <c r="AP56" s="5">
        <v>0.456966669660541</v>
      </c>
      <c r="AQ56" s="5">
        <v>-0.216827292911495</v>
      </c>
      <c r="AR56" s="5">
        <v>4.26019920299767E-2</v>
      </c>
      <c r="AS56" s="5">
        <v>-1.7221288212301001E-2</v>
      </c>
      <c r="AT56" s="5">
        <v>1.7720837356762199E-2</v>
      </c>
      <c r="AU56" s="5">
        <v>-2.2215553964126601E-3</v>
      </c>
      <c r="AV56" s="5">
        <v>8.1824885279594903E-2</v>
      </c>
      <c r="AW56" s="5">
        <v>-2.0178493130063101E-2</v>
      </c>
      <c r="AX56" s="5">
        <v>2.0384748162639701E-2</v>
      </c>
      <c r="AY56" s="5">
        <v>-1.4242455170574901E-2</v>
      </c>
      <c r="AZ56" s="5">
        <v>3.2934006652920803E-2</v>
      </c>
      <c r="BA56" s="5">
        <v>-9.66581975091323E-3</v>
      </c>
      <c r="BB56" s="5">
        <v>0.11891727633471399</v>
      </c>
      <c r="BC56" s="5">
        <v>-0.10937792122527799</v>
      </c>
      <c r="BD56" s="5">
        <v>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</row>
    <row r="57" spans="1:389" x14ac:dyDescent="0.45">
      <c r="A57" s="4" t="str">
        <f ca="1">"BTN / beta2dist in "&amp;CELL("address",'damages-1990'!$K$29)</f>
        <v>BTN / beta2dist in '[BHM betas v3pd.xlsx]damages-1990'!$K$29</v>
      </c>
      <c r="B57" s="6">
        <v>-0.19612758045390399</v>
      </c>
      <c r="C57" s="5">
        <v>0.43152279916083802</v>
      </c>
      <c r="D57" s="5">
        <v>0.215656565533767</v>
      </c>
      <c r="E57" s="5">
        <v>0.135731254023119</v>
      </c>
      <c r="F57" s="5">
        <v>-0.27150879528396699</v>
      </c>
      <c r="G57" s="5">
        <v>0.38845960623831</v>
      </c>
      <c r="H57" s="5">
        <v>-0.31188516213440998</v>
      </c>
      <c r="I57" s="5">
        <v>0.134863859496509</v>
      </c>
      <c r="J57" s="5">
        <v>0.223665014242974</v>
      </c>
      <c r="K57" s="5">
        <v>0.168113708547761</v>
      </c>
      <c r="L57" s="5">
        <v>2.3020134636648201E-2</v>
      </c>
      <c r="M57" s="5">
        <v>0.157340358168509</v>
      </c>
      <c r="N57" s="5">
        <v>-0.210036057064174</v>
      </c>
      <c r="O57" s="5">
        <v>1.35638943649182E-2</v>
      </c>
      <c r="P57" s="5">
        <v>8.1664039533759794E-2</v>
      </c>
      <c r="Q57" s="5">
        <v>0.11628622515303801</v>
      </c>
      <c r="R57" s="5">
        <v>0.23517992657435699</v>
      </c>
      <c r="S57" s="5">
        <v>0.102021790904107</v>
      </c>
      <c r="T57" s="5">
        <v>-0.35905752733509</v>
      </c>
      <c r="U57" s="5">
        <v>0.24829996573343199</v>
      </c>
      <c r="V57" s="5">
        <v>-0.13869963225982901</v>
      </c>
      <c r="W57" s="5">
        <v>0.32435914030631602</v>
      </c>
      <c r="X57" s="5">
        <v>0.216265957353167</v>
      </c>
      <c r="Y57" s="5">
        <v>0.108461048546936</v>
      </c>
      <c r="Z57" s="5">
        <v>-0.32688192781174702</v>
      </c>
      <c r="AA57" s="5">
        <v>0.29244312097171199</v>
      </c>
      <c r="AB57" s="5">
        <v>0.17334633817200601</v>
      </c>
      <c r="AC57" s="5">
        <v>0.11263076933656101</v>
      </c>
      <c r="AD57" s="5">
        <v>3.0630235066516999E-2</v>
      </c>
      <c r="AE57" s="5">
        <v>0.24735560217314601</v>
      </c>
      <c r="AF57" s="5">
        <v>0.34261732773530801</v>
      </c>
      <c r="AG57" s="5">
        <v>-2.36892065204624E-2</v>
      </c>
      <c r="AH57" s="5">
        <v>-0.33727086817242602</v>
      </c>
      <c r="AI57" s="5">
        <v>0.405137360223357</v>
      </c>
      <c r="AJ57" s="5">
        <v>0.22238453679541401</v>
      </c>
      <c r="AK57" s="5">
        <v>0.18802149355738601</v>
      </c>
      <c r="AL57" s="5">
        <v>0.354702584452187</v>
      </c>
      <c r="AM57" s="5">
        <v>-0.17478941786715399</v>
      </c>
      <c r="AN57" s="5">
        <v>-0.33793886673022799</v>
      </c>
      <c r="AO57" s="5">
        <v>0.30402838278337002</v>
      </c>
      <c r="AP57" s="5">
        <v>-0.41913825896790802</v>
      </c>
      <c r="AQ57" s="5">
        <v>0.32186009100031399</v>
      </c>
      <c r="AR57" s="5">
        <v>0.31206001976825798</v>
      </c>
      <c r="AS57" s="5">
        <v>-3.68386985691306E-2</v>
      </c>
      <c r="AT57" s="5">
        <v>0.30233812117471098</v>
      </c>
      <c r="AU57" s="5">
        <v>-0.105387391997876</v>
      </c>
      <c r="AV57" s="5">
        <v>0.383409976368288</v>
      </c>
      <c r="AW57" s="5">
        <v>-3.5624925084421097E-2</v>
      </c>
      <c r="AX57" s="5">
        <v>0.39500316009374897</v>
      </c>
      <c r="AY57" s="5">
        <v>-2.8417884849209801E-2</v>
      </c>
      <c r="AZ57" s="5">
        <v>0.125401126745945</v>
      </c>
      <c r="BA57" s="5">
        <v>6.7890057557257896E-2</v>
      </c>
      <c r="BB57" s="5">
        <v>0.20814735373619001</v>
      </c>
      <c r="BC57" s="5">
        <v>0.190158006630919</v>
      </c>
      <c r="BD57" s="5">
        <v>-0.73041974725153302</v>
      </c>
      <c r="BE57" s="5">
        <v>1</v>
      </c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</row>
    <row r="58" spans="1:389" x14ac:dyDescent="0.45">
      <c r="A58" s="4" t="str">
        <f ca="1">"BWA / beta1dist in "&amp;CELL("address",'damages-1990'!$J$30)</f>
        <v>BWA / beta1dist in '[BHM betas v3pd.xlsx]damages-1990'!$J$30</v>
      </c>
      <c r="B58" s="6">
        <v>0.211126596987079</v>
      </c>
      <c r="C58" s="5">
        <v>0.11169172142393199</v>
      </c>
      <c r="D58" s="5">
        <v>0.69468813932815998</v>
      </c>
      <c r="E58" s="5">
        <v>-0.39743673345646602</v>
      </c>
      <c r="F58" s="5">
        <v>0.11948698718653</v>
      </c>
      <c r="G58" s="5">
        <v>0.12413047688935</v>
      </c>
      <c r="H58" s="5">
        <v>-0.109332449906517</v>
      </c>
      <c r="I58" s="5">
        <v>7.6923667810945603E-2</v>
      </c>
      <c r="J58" s="5">
        <v>0.36494031699544899</v>
      </c>
      <c r="K58" s="5">
        <v>-5.7599446537704498E-2</v>
      </c>
      <c r="L58" s="5">
        <v>0.33749889135064598</v>
      </c>
      <c r="M58" s="5">
        <v>1.0297107988996799E-2</v>
      </c>
      <c r="N58" s="5">
        <v>6.3091008215721597E-2</v>
      </c>
      <c r="O58" s="5">
        <v>-8.3886132746239697E-2</v>
      </c>
      <c r="P58" s="5">
        <v>0.41376980373932398</v>
      </c>
      <c r="Q58" s="5">
        <v>-0.28584928550493199</v>
      </c>
      <c r="R58" s="5">
        <v>0.35090642094930602</v>
      </c>
      <c r="S58" s="5">
        <v>-4.8191851440188199E-2</v>
      </c>
      <c r="T58" s="5">
        <v>0.21387212545887299</v>
      </c>
      <c r="U58" s="5">
        <v>-0.25872296465058398</v>
      </c>
      <c r="V58" s="5">
        <v>0.194664741950906</v>
      </c>
      <c r="W58" s="5">
        <v>0.12713013548680999</v>
      </c>
      <c r="X58" s="5">
        <v>0.52991699735589803</v>
      </c>
      <c r="Y58" s="5">
        <v>-0.23367651567885001</v>
      </c>
      <c r="Z58" s="5">
        <v>8.9081356534912101E-2</v>
      </c>
      <c r="AA58" s="5">
        <v>-1.9772108960916999E-2</v>
      </c>
      <c r="AB58" s="5">
        <v>0.62477358347824097</v>
      </c>
      <c r="AC58" s="5">
        <v>-0.39830530591721802</v>
      </c>
      <c r="AD58" s="5">
        <v>0.51832510908829599</v>
      </c>
      <c r="AE58" s="5">
        <v>-0.26265192211023702</v>
      </c>
      <c r="AF58" s="5">
        <v>0.29031866633283498</v>
      </c>
      <c r="AG58" s="5">
        <v>-6.3655157689783803E-2</v>
      </c>
      <c r="AH58" s="5">
        <v>0.16676940252698</v>
      </c>
      <c r="AI58" s="5">
        <v>-2.2857319238159101E-3</v>
      </c>
      <c r="AJ58" s="5">
        <v>0.31008378483279903</v>
      </c>
      <c r="AK58" s="5">
        <v>-2.4119121515887399E-2</v>
      </c>
      <c r="AL58" s="5">
        <v>0.136938256610627</v>
      </c>
      <c r="AM58" s="5">
        <v>5.2712047642600499E-2</v>
      </c>
      <c r="AN58" s="5">
        <v>0.19025229524819401</v>
      </c>
      <c r="AO58" s="5">
        <v>-0.137829053999907</v>
      </c>
      <c r="AP58" s="5">
        <v>4.0472842677305401E-2</v>
      </c>
      <c r="AQ58" s="5">
        <v>-3.12546673653918E-2</v>
      </c>
      <c r="AR58" s="5">
        <v>0.481468836569174</v>
      </c>
      <c r="AS58" s="5">
        <v>-0.28056885273112703</v>
      </c>
      <c r="AT58" s="5">
        <v>0.187663267101186</v>
      </c>
      <c r="AU58" s="5">
        <v>-2.1790752878314699E-2</v>
      </c>
      <c r="AV58" s="5">
        <v>0.49968831155482701</v>
      </c>
      <c r="AW58" s="5">
        <v>-0.26721699038802499</v>
      </c>
      <c r="AX58" s="5">
        <v>0.55414729725918099</v>
      </c>
      <c r="AY58" s="5">
        <v>-0.35007267764897398</v>
      </c>
      <c r="AZ58" s="5">
        <v>0.53990699547189502</v>
      </c>
      <c r="BA58" s="5">
        <v>-0.415696767888663</v>
      </c>
      <c r="BB58" s="5">
        <v>0.43331994813714098</v>
      </c>
      <c r="BC58" s="5">
        <v>-0.14958122011619801</v>
      </c>
      <c r="BD58" s="5">
        <v>0.123455169435032</v>
      </c>
      <c r="BE58" s="5">
        <v>0.17808755637026699</v>
      </c>
      <c r="BF58" s="5">
        <v>1</v>
      </c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</row>
    <row r="59" spans="1:389" x14ac:dyDescent="0.45">
      <c r="A59" s="4" t="str">
        <f ca="1">"BWA / beta2dist in "&amp;CELL("address",'damages-1990'!$K$30)</f>
        <v>BWA / beta2dist in '[BHM betas v3pd.xlsx]damages-1990'!$K$30</v>
      </c>
      <c r="B59" s="6">
        <v>-9.1185662479191104E-2</v>
      </c>
      <c r="C59" s="5">
        <v>0.16681844060884199</v>
      </c>
      <c r="D59" s="5">
        <v>-0.43763199292926003</v>
      </c>
      <c r="E59" s="5">
        <v>0.59845397096692099</v>
      </c>
      <c r="F59" s="5">
        <v>-1.2618812894295E-3</v>
      </c>
      <c r="G59" s="5">
        <v>-6.8102178114466403E-3</v>
      </c>
      <c r="H59" s="5">
        <v>-1.9744203040393701E-2</v>
      </c>
      <c r="I59" s="5">
        <v>-3.4893236838965599E-3</v>
      </c>
      <c r="J59" s="5">
        <v>-7.8927844496370594E-2</v>
      </c>
      <c r="K59" s="5">
        <v>0.17960512956379501</v>
      </c>
      <c r="L59" s="5">
        <v>-4.7395373962241603E-2</v>
      </c>
      <c r="M59" s="5">
        <v>2.80726084750503E-2</v>
      </c>
      <c r="N59" s="5">
        <v>-9.3468881950786106E-2</v>
      </c>
      <c r="O59" s="5">
        <v>0.123038628660067</v>
      </c>
      <c r="P59" s="5">
        <v>-0.39053943656206902</v>
      </c>
      <c r="Q59" s="5">
        <v>0.51209231997134297</v>
      </c>
      <c r="R59" s="5">
        <v>-3.2151398030742899E-2</v>
      </c>
      <c r="S59" s="5">
        <v>0.16663360876459801</v>
      </c>
      <c r="T59" s="5">
        <v>-0.38590605223880903</v>
      </c>
      <c r="U59" s="5">
        <v>0.45048891490777798</v>
      </c>
      <c r="V59" s="5">
        <v>-5.2769324635008599E-3</v>
      </c>
      <c r="W59" s="5">
        <v>1.6006727998025199E-2</v>
      </c>
      <c r="X59" s="5">
        <v>-0.28733658835332399</v>
      </c>
      <c r="Y59" s="5">
        <v>0.41310824863846901</v>
      </c>
      <c r="Z59" s="5">
        <v>-0.14850337597433</v>
      </c>
      <c r="AA59" s="5">
        <v>0.19359388951614101</v>
      </c>
      <c r="AB59" s="5">
        <v>-0.42530500231641299</v>
      </c>
      <c r="AC59" s="5">
        <v>0.566483318184413</v>
      </c>
      <c r="AD59" s="5">
        <v>-0.34999707732578</v>
      </c>
      <c r="AE59" s="5">
        <v>0.470138970146672</v>
      </c>
      <c r="AF59" s="5">
        <v>-2.03753078809355E-2</v>
      </c>
      <c r="AG59" s="5">
        <v>0.15636037988599299</v>
      </c>
      <c r="AH59" s="5">
        <v>-0.100305785810376</v>
      </c>
      <c r="AI59" s="5">
        <v>0.13275085210423501</v>
      </c>
      <c r="AJ59" s="5">
        <v>-4.7203278036897098E-2</v>
      </c>
      <c r="AK59" s="5">
        <v>0.14726789552084299</v>
      </c>
      <c r="AL59" s="5">
        <v>0.26253323210614998</v>
      </c>
      <c r="AM59" s="5">
        <v>-0.266722319327931</v>
      </c>
      <c r="AN59" s="5">
        <v>-0.24986513438237001</v>
      </c>
      <c r="AO59" s="5">
        <v>0.32404014466181802</v>
      </c>
      <c r="AP59" s="5">
        <v>-0.24102103137667499</v>
      </c>
      <c r="AQ59" s="5">
        <v>0.27388514604099401</v>
      </c>
      <c r="AR59" s="5">
        <v>-0.17245787932051501</v>
      </c>
      <c r="AS59" s="5">
        <v>0.30248208919559999</v>
      </c>
      <c r="AT59" s="5">
        <v>0.16111461504655999</v>
      </c>
      <c r="AU59" s="5">
        <v>-0.135564967171239</v>
      </c>
      <c r="AV59" s="5">
        <v>-0.123988024354827</v>
      </c>
      <c r="AW59" s="5">
        <v>0.33223238031643798</v>
      </c>
      <c r="AX59" s="5">
        <v>-0.202070008590999</v>
      </c>
      <c r="AY59" s="5">
        <v>0.43269531604845901</v>
      </c>
      <c r="AZ59" s="5">
        <v>-0.48804548645716</v>
      </c>
      <c r="BA59" s="5">
        <v>0.60829505617664903</v>
      </c>
      <c r="BB59" s="5">
        <v>-0.130835007186521</v>
      </c>
      <c r="BC59" s="5">
        <v>0.29960778709966801</v>
      </c>
      <c r="BD59" s="5">
        <v>-9.2567505168156497E-2</v>
      </c>
      <c r="BE59" s="5">
        <v>0.139118470266865</v>
      </c>
      <c r="BF59" s="5">
        <v>-0.80923458276882698</v>
      </c>
      <c r="BG59" s="5">
        <v>1</v>
      </c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</row>
    <row r="60" spans="1:389" x14ac:dyDescent="0.45">
      <c r="A60" s="4" t="str">
        <f ca="1">"CAF / beta1dist in "&amp;CELL("address",'damages-1990'!$J$31)</f>
        <v>CAF / beta1dist in '[BHM betas v3pd.xlsx]damages-1990'!$J$31</v>
      </c>
      <c r="B60" s="6">
        <v>0.293175043910883</v>
      </c>
      <c r="C60" s="5">
        <v>6.8604158996494094E-2</v>
      </c>
      <c r="D60" s="5">
        <v>0.69035127696618803</v>
      </c>
      <c r="E60" s="5">
        <v>-0.35549618284242501</v>
      </c>
      <c r="F60" s="5">
        <v>0.16201623849680299</v>
      </c>
      <c r="G60" s="5">
        <v>0.10311908612489699</v>
      </c>
      <c r="H60" s="5">
        <v>-0.14557308043605099</v>
      </c>
      <c r="I60" s="5">
        <v>0.10553579120288099</v>
      </c>
      <c r="J60" s="5">
        <v>0.63834652901668298</v>
      </c>
      <c r="K60" s="5">
        <v>-0.30140818264533498</v>
      </c>
      <c r="L60" s="5">
        <v>0.456241801132453</v>
      </c>
      <c r="M60" s="5">
        <v>-0.109803816990983</v>
      </c>
      <c r="N60" s="5">
        <v>-4.5528274399910099E-2</v>
      </c>
      <c r="O60" s="5">
        <v>3.7125702896050203E-2</v>
      </c>
      <c r="P60" s="5">
        <v>0.44867440894174099</v>
      </c>
      <c r="Q60" s="5">
        <v>-0.27731523676223502</v>
      </c>
      <c r="R60" s="5">
        <v>0.54862136510180604</v>
      </c>
      <c r="S60" s="5">
        <v>-0.23685674166179799</v>
      </c>
      <c r="T60" s="5">
        <v>7.4339379741245298E-2</v>
      </c>
      <c r="U60" s="5">
        <v>-0.10998750541921599</v>
      </c>
      <c r="V60" s="5">
        <v>0.19004081698747699</v>
      </c>
      <c r="W60" s="5">
        <v>0.23836045219479399</v>
      </c>
      <c r="X60" s="5">
        <v>0.65839667759506604</v>
      </c>
      <c r="Y60" s="5">
        <v>-0.326816352083655</v>
      </c>
      <c r="Z60" s="5">
        <v>8.6812012938144598E-2</v>
      </c>
      <c r="AA60" s="5">
        <v>-8.5575983910390896E-3</v>
      </c>
      <c r="AB60" s="5">
        <v>0.72445654660168901</v>
      </c>
      <c r="AC60" s="5">
        <v>-0.491232230085352</v>
      </c>
      <c r="AD60" s="5">
        <v>0.68106919255458398</v>
      </c>
      <c r="AE60" s="5">
        <v>-0.39575712948874903</v>
      </c>
      <c r="AF60" s="5">
        <v>0.42345221922111997</v>
      </c>
      <c r="AG60" s="5">
        <v>-0.18052804601448799</v>
      </c>
      <c r="AH60" s="5">
        <v>0.13490907825086401</v>
      </c>
      <c r="AI60" s="5">
        <v>6.5315627548486604E-2</v>
      </c>
      <c r="AJ60" s="5">
        <v>0.56985041148328697</v>
      </c>
      <c r="AK60" s="5">
        <v>-0.23949966858608601</v>
      </c>
      <c r="AL60" s="5">
        <v>0.27979901073429603</v>
      </c>
      <c r="AM60" s="5">
        <v>-8.0190218114478795E-2</v>
      </c>
      <c r="AN60" s="5">
        <v>0.107298368473998</v>
      </c>
      <c r="AO60" s="5">
        <v>-1.5304836655479499E-2</v>
      </c>
      <c r="AP60" s="5">
        <v>-4.1651037825728598E-2</v>
      </c>
      <c r="AQ60" s="5">
        <v>2.4454058367868799E-2</v>
      </c>
      <c r="AR60" s="5">
        <v>0.52124515555208695</v>
      </c>
      <c r="AS60" s="5">
        <v>-0.26168615459304301</v>
      </c>
      <c r="AT60" s="5">
        <v>0.15158957675962501</v>
      </c>
      <c r="AU60" s="5">
        <v>8.6960198212661502E-2</v>
      </c>
      <c r="AV60" s="5">
        <v>0.58009672173877602</v>
      </c>
      <c r="AW60" s="5">
        <v>-0.285769385499617</v>
      </c>
      <c r="AX60" s="5">
        <v>0.68046250036978995</v>
      </c>
      <c r="AY60" s="5">
        <v>-0.42222106292262201</v>
      </c>
      <c r="AZ60" s="5">
        <v>0.51293457624972705</v>
      </c>
      <c r="BA60" s="5">
        <v>-0.33435490546725899</v>
      </c>
      <c r="BB60" s="5">
        <v>0.68955105712197395</v>
      </c>
      <c r="BC60" s="5">
        <v>-0.373886635018645</v>
      </c>
      <c r="BD60" s="5">
        <v>9.4368591809666294E-2</v>
      </c>
      <c r="BE60" s="5">
        <v>0.26408076329763602</v>
      </c>
      <c r="BF60" s="5">
        <v>0.59528758749115196</v>
      </c>
      <c r="BG60" s="5">
        <v>-0.32412884961480998</v>
      </c>
      <c r="BH60" s="5">
        <v>1</v>
      </c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</row>
    <row r="61" spans="1:389" x14ac:dyDescent="0.45">
      <c r="A61" s="4" t="str">
        <f ca="1">"CAF / beta2dist in "&amp;CELL("address",'damages-1990'!$K$31)</f>
        <v>CAF / beta2dist in '[BHM betas v3pd.xlsx]damages-1990'!$K$31</v>
      </c>
      <c r="B61" s="6">
        <v>-0.16525215146258301</v>
      </c>
      <c r="C61" s="5">
        <v>0.26168915252923702</v>
      </c>
      <c r="D61" s="5">
        <v>-0.391082959590978</v>
      </c>
      <c r="E61" s="5">
        <v>0.63609952167261496</v>
      </c>
      <c r="F61" s="5">
        <v>-3.0939391256163101E-2</v>
      </c>
      <c r="G61" s="5">
        <v>2.33315153423506E-2</v>
      </c>
      <c r="H61" s="5">
        <v>9.2051984608866502E-2</v>
      </c>
      <c r="I61" s="5">
        <v>-0.14309463703320799</v>
      </c>
      <c r="J61" s="5">
        <v>-0.34602477394252101</v>
      </c>
      <c r="K61" s="5">
        <v>0.507770093381541</v>
      </c>
      <c r="L61" s="5">
        <v>-0.142503736242371</v>
      </c>
      <c r="M61" s="5">
        <v>0.20019944503050999</v>
      </c>
      <c r="N61" s="5">
        <v>-8.1076630658810499E-3</v>
      </c>
      <c r="O61" s="5">
        <v>1.1722342497344501E-2</v>
      </c>
      <c r="P61" s="5">
        <v>-0.47686013399106503</v>
      </c>
      <c r="Q61" s="5">
        <v>0.61091357870007101</v>
      </c>
      <c r="R61" s="5">
        <v>-0.21194337530547999</v>
      </c>
      <c r="S61" s="5">
        <v>0.437009661898979</v>
      </c>
      <c r="T61" s="5">
        <v>-0.19388570641295999</v>
      </c>
      <c r="U61" s="5">
        <v>0.228342602254649</v>
      </c>
      <c r="V61" s="5">
        <v>2.1554622824997E-2</v>
      </c>
      <c r="W61" s="5">
        <v>-8.2628301331187301E-2</v>
      </c>
      <c r="X61" s="5">
        <v>-0.39765109600530502</v>
      </c>
      <c r="Y61" s="5">
        <v>0.596109123929078</v>
      </c>
      <c r="Z61" s="5">
        <v>-8.7727814196141299E-2</v>
      </c>
      <c r="AA61" s="5">
        <v>0.110778374204502</v>
      </c>
      <c r="AB61" s="5">
        <v>-0.467080754982797</v>
      </c>
      <c r="AC61" s="5">
        <v>0.73699917386401603</v>
      </c>
      <c r="AD61" s="5">
        <v>-0.47310257961124103</v>
      </c>
      <c r="AE61" s="5">
        <v>0.69711073348436203</v>
      </c>
      <c r="AF61" s="5">
        <v>-0.21679380348594299</v>
      </c>
      <c r="AG61" s="5">
        <v>0.41671381204548702</v>
      </c>
      <c r="AH61" s="5">
        <v>-4.22534593316468E-2</v>
      </c>
      <c r="AI61" s="5">
        <v>4.7315590842054799E-2</v>
      </c>
      <c r="AJ61" s="5">
        <v>-0.35129780225989199</v>
      </c>
      <c r="AK61" s="5">
        <v>0.470707090647694</v>
      </c>
      <c r="AL61" s="5">
        <v>0.13759095825008699</v>
      </c>
      <c r="AM61" s="5">
        <v>-0.10564478072167301</v>
      </c>
      <c r="AN61" s="5">
        <v>-0.14596711528796</v>
      </c>
      <c r="AO61" s="5">
        <v>0.17874456358570501</v>
      </c>
      <c r="AP61" s="5">
        <v>-0.12654249359499301</v>
      </c>
      <c r="AQ61" s="5">
        <v>0.17570476016078601</v>
      </c>
      <c r="AR61" s="5">
        <v>-0.19505533955280199</v>
      </c>
      <c r="AS61" s="5">
        <v>0.34432492647621399</v>
      </c>
      <c r="AT61" s="5">
        <v>0.22276443889043901</v>
      </c>
      <c r="AU61" s="5">
        <v>-0.24369075939021201</v>
      </c>
      <c r="AV61" s="5">
        <v>-0.204942049320951</v>
      </c>
      <c r="AW61" s="5">
        <v>0.46744031537798603</v>
      </c>
      <c r="AX61" s="5">
        <v>-0.33904221186792999</v>
      </c>
      <c r="AY61" s="5">
        <v>0.63404265375927205</v>
      </c>
      <c r="AZ61" s="5">
        <v>-0.51015173167741701</v>
      </c>
      <c r="BA61" s="5">
        <v>0.63631247688333203</v>
      </c>
      <c r="BB61" s="5">
        <v>-0.326995647414068</v>
      </c>
      <c r="BC61" s="5">
        <v>0.57185469073681905</v>
      </c>
      <c r="BD61" s="5">
        <v>-4.2986975312433097E-2</v>
      </c>
      <c r="BE61" s="5">
        <v>7.1416659339692504E-2</v>
      </c>
      <c r="BF61" s="5">
        <v>-0.32289857990726001</v>
      </c>
      <c r="BG61" s="5">
        <v>0.49381057391917399</v>
      </c>
      <c r="BH61" s="5">
        <v>-0.70675716843109404</v>
      </c>
      <c r="BI61" s="5">
        <v>1</v>
      </c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</row>
    <row r="62" spans="1:389" x14ac:dyDescent="0.45">
      <c r="A62" s="4" t="str">
        <f ca="1">"CAN / beta1dist in "&amp;CELL("address",'damages-1990'!$J$32)</f>
        <v>CAN / beta1dist in '[BHM betas v3pd.xlsx]damages-1990'!$J$32</v>
      </c>
      <c r="B62" s="6">
        <v>0.14264293095296701</v>
      </c>
      <c r="C62" s="5">
        <v>-0.28609307371537102</v>
      </c>
      <c r="D62" s="5">
        <v>-0.203342063844723</v>
      </c>
      <c r="E62" s="5">
        <v>-8.26751197757854E-2</v>
      </c>
      <c r="F62" s="5">
        <v>0.25105253326788102</v>
      </c>
      <c r="G62" s="5">
        <v>-0.31069841345654398</v>
      </c>
      <c r="H62" s="5">
        <v>0.43515045933263602</v>
      </c>
      <c r="I62" s="5">
        <v>-0.25838066591972703</v>
      </c>
      <c r="J62" s="5">
        <v>-0.30074554742286203</v>
      </c>
      <c r="K62" s="5">
        <v>-2.7994035376986401E-2</v>
      </c>
      <c r="L62" s="5">
        <v>1.87413851192809E-2</v>
      </c>
      <c r="M62" s="5">
        <v>-0.17796270628834299</v>
      </c>
      <c r="N62" s="5">
        <v>0.31454207759594999</v>
      </c>
      <c r="O62" s="5">
        <v>-0.16615108496092401</v>
      </c>
      <c r="P62" s="5">
        <v>-0.13466003031779999</v>
      </c>
      <c r="Q62" s="5">
        <v>-9.2034813014195499E-2</v>
      </c>
      <c r="R62" s="5">
        <v>-0.461693771419042</v>
      </c>
      <c r="S62" s="5">
        <v>0.22636683347459299</v>
      </c>
      <c r="T62" s="5">
        <v>0.55749020263516402</v>
      </c>
      <c r="U62" s="5">
        <v>-0.45460612724219401</v>
      </c>
      <c r="V62" s="5">
        <v>0.12865764014393899</v>
      </c>
      <c r="W62" s="5">
        <v>-0.27106622732720398</v>
      </c>
      <c r="X62" s="5">
        <v>-0.21732925312725601</v>
      </c>
      <c r="Y62" s="5">
        <v>-5.6575157501335002E-2</v>
      </c>
      <c r="Z62" s="5">
        <v>0.43653120349992097</v>
      </c>
      <c r="AA62" s="5">
        <v>-0.378742710453981</v>
      </c>
      <c r="AB62" s="5">
        <v>-0.21539650456543</v>
      </c>
      <c r="AC62" s="5">
        <v>1.02713775056916E-2</v>
      </c>
      <c r="AD62" s="5">
        <v>-0.16287879581678899</v>
      </c>
      <c r="AE62" s="5">
        <v>-5.2326885631773401E-2</v>
      </c>
      <c r="AF62" s="5">
        <v>-0.31055101616673703</v>
      </c>
      <c r="AG62" s="5">
        <v>5.6043382907485098E-3</v>
      </c>
      <c r="AH62" s="5">
        <v>0.315126841401911</v>
      </c>
      <c r="AI62" s="5">
        <v>-0.35160200426570898</v>
      </c>
      <c r="AJ62" s="5">
        <v>-0.31196318390697098</v>
      </c>
      <c r="AK62" s="5">
        <v>-3.1886381268515798E-2</v>
      </c>
      <c r="AL62" s="5">
        <v>-0.307899434895197</v>
      </c>
      <c r="AM62" s="5">
        <v>0.12611514017966899</v>
      </c>
      <c r="AN62" s="5">
        <v>0.48417129514767598</v>
      </c>
      <c r="AO62" s="5">
        <v>-0.468810666586016</v>
      </c>
      <c r="AP62" s="5">
        <v>0.48626850208098699</v>
      </c>
      <c r="AQ62" s="5">
        <v>-0.38120134659872801</v>
      </c>
      <c r="AR62" s="5">
        <v>-0.23633817537224799</v>
      </c>
      <c r="AS62" s="5">
        <v>-2.1220160843864501E-2</v>
      </c>
      <c r="AT62" s="5">
        <v>-0.20522913853025601</v>
      </c>
      <c r="AU62" s="5">
        <v>2.1031772197990999E-2</v>
      </c>
      <c r="AV62" s="5">
        <v>-0.44575903711743903</v>
      </c>
      <c r="AW62" s="5">
        <v>0.18669237507445599</v>
      </c>
      <c r="AX62" s="5">
        <v>-0.44721920129148501</v>
      </c>
      <c r="AY62" s="5">
        <v>0.12740605324808901</v>
      </c>
      <c r="AZ62" s="5">
        <v>-0.14514577317979399</v>
      </c>
      <c r="BA62" s="5">
        <v>-6.3717614001543701E-2</v>
      </c>
      <c r="BB62" s="5">
        <v>-0.32243927656600901</v>
      </c>
      <c r="BC62" s="5">
        <v>-1.9617025606400901E-2</v>
      </c>
      <c r="BD62" s="5">
        <v>0.369720315009611</v>
      </c>
      <c r="BE62" s="5">
        <v>-0.49059760094807098</v>
      </c>
      <c r="BF62" s="5">
        <v>2.5355959943543099E-2</v>
      </c>
      <c r="BG62" s="5">
        <v>-0.31670972455148499</v>
      </c>
      <c r="BH62" s="5">
        <v>-0.26226693114949201</v>
      </c>
      <c r="BI62" s="5">
        <v>4.4124613012209296E-3</v>
      </c>
      <c r="BJ62" s="5">
        <v>1</v>
      </c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</row>
    <row r="63" spans="1:389" x14ac:dyDescent="0.45">
      <c r="A63" s="4" t="str">
        <f ca="1">"CAN / beta2dist in "&amp;CELL("address",'damages-1990'!$K$32)</f>
        <v>CAN / beta2dist in '[BHM betas v3pd.xlsx]damages-1990'!$K$32</v>
      </c>
      <c r="B63" s="6">
        <v>4.7174786769362299E-2</v>
      </c>
      <c r="C63" s="5">
        <v>1.3210358082881501E-3</v>
      </c>
      <c r="D63" s="5">
        <v>0.122424407183563</v>
      </c>
      <c r="E63" s="5">
        <v>-6.4173710960249902E-2</v>
      </c>
      <c r="F63" s="5">
        <v>-1.44999750121611E-2</v>
      </c>
      <c r="G63" s="5">
        <v>4.99362584253049E-2</v>
      </c>
      <c r="H63" s="5">
        <v>-0.152010493400972</v>
      </c>
      <c r="I63" s="5">
        <v>0.13581508529882</v>
      </c>
      <c r="J63" s="5">
        <v>0.22025436210341301</v>
      </c>
      <c r="K63" s="5">
        <v>-0.14855088625366</v>
      </c>
      <c r="L63" s="5">
        <v>6.7155371089706603E-3</v>
      </c>
      <c r="M63" s="5">
        <v>7.1460569718402603E-2</v>
      </c>
      <c r="N63" s="5">
        <v>-9.1396510938807296E-2</v>
      </c>
      <c r="O63" s="5">
        <v>0.13374632306612599</v>
      </c>
      <c r="P63" s="5">
        <v>0.13822346012640199</v>
      </c>
      <c r="Q63" s="5">
        <v>-4.7257216586947898E-2</v>
      </c>
      <c r="R63" s="5">
        <v>0.45766837902521101</v>
      </c>
      <c r="S63" s="5">
        <v>-0.46221529992419502</v>
      </c>
      <c r="T63" s="5">
        <v>-0.30229921058133202</v>
      </c>
      <c r="U63" s="5">
        <v>0.33241503862185301</v>
      </c>
      <c r="V63" s="5">
        <v>3.3445685629551802E-2</v>
      </c>
      <c r="W63" s="5">
        <v>4.7818800927251499E-2</v>
      </c>
      <c r="X63" s="5">
        <v>0.18735317933098899</v>
      </c>
      <c r="Y63" s="5">
        <v>-0.11577130918313799</v>
      </c>
      <c r="Z63" s="5">
        <v>-0.16487533334565899</v>
      </c>
      <c r="AA63" s="5">
        <v>0.18742506297553699</v>
      </c>
      <c r="AB63" s="5">
        <v>0.19009089407485799</v>
      </c>
      <c r="AC63" s="5">
        <v>-0.186711246751782</v>
      </c>
      <c r="AD63" s="5">
        <v>0.19695722736627899</v>
      </c>
      <c r="AE63" s="5">
        <v>-0.16944845042227799</v>
      </c>
      <c r="AF63" s="5">
        <v>0.12647612713533499</v>
      </c>
      <c r="AG63" s="5">
        <v>-9.1492770933707408E-3</v>
      </c>
      <c r="AH63" s="5">
        <v>-6.3364343709006593E-2</v>
      </c>
      <c r="AI63" s="5">
        <v>0.11921371901030101</v>
      </c>
      <c r="AJ63" s="5">
        <v>0.245992669896239</v>
      </c>
      <c r="AK63" s="5">
        <v>-0.15378424277977901</v>
      </c>
      <c r="AL63" s="5">
        <v>0.13243902316030101</v>
      </c>
      <c r="AM63" s="5">
        <v>-7.0610592265992395E-2</v>
      </c>
      <c r="AN63" s="5">
        <v>-0.21508095223415999</v>
      </c>
      <c r="AO63" s="5">
        <v>0.29160776384778903</v>
      </c>
      <c r="AP63" s="5">
        <v>-0.179276670569229</v>
      </c>
      <c r="AQ63" s="5">
        <v>0.196044781256728</v>
      </c>
      <c r="AR63" s="5">
        <v>3.1766364036566901E-2</v>
      </c>
      <c r="AS63" s="5">
        <v>5.6959328841746197E-2</v>
      </c>
      <c r="AT63" s="5">
        <v>2.6651177963912899E-2</v>
      </c>
      <c r="AU63" s="5">
        <v>6.07843737169773E-2</v>
      </c>
      <c r="AV63" s="5">
        <v>0.33756851971952501</v>
      </c>
      <c r="AW63" s="5">
        <v>-0.32944226558579198</v>
      </c>
      <c r="AX63" s="5">
        <v>0.326174510484606</v>
      </c>
      <c r="AY63" s="5">
        <v>-0.27360676989458099</v>
      </c>
      <c r="AZ63" s="5">
        <v>0.13532318442799099</v>
      </c>
      <c r="BA63" s="5">
        <v>-5.07343458001972E-2</v>
      </c>
      <c r="BB63" s="5">
        <v>0.25035579338382902</v>
      </c>
      <c r="BC63" s="5">
        <v>-0.14926527614775001</v>
      </c>
      <c r="BD63" s="5">
        <v>-0.10177592770407801</v>
      </c>
      <c r="BE63" s="5">
        <v>0.17125653287121601</v>
      </c>
      <c r="BF63" s="5">
        <v>-0.17278227728454501</v>
      </c>
      <c r="BG63" s="5">
        <v>0.28913046566255202</v>
      </c>
      <c r="BH63" s="5">
        <v>0.18305375808822999</v>
      </c>
      <c r="BI63" s="5">
        <v>-0.16468598383034</v>
      </c>
      <c r="BJ63" s="5">
        <v>-0.84008813780078995</v>
      </c>
      <c r="BK63" s="5">
        <v>1</v>
      </c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</row>
    <row r="64" spans="1:389" x14ac:dyDescent="0.45">
      <c r="A64" s="4" t="str">
        <f ca="1">"CHE / beta1dist in "&amp;CELL("address",'damages-1990'!$J$33)</f>
        <v>CHE / beta1dist in '[BHM betas v3pd.xlsx]damages-1990'!$J$33</v>
      </c>
      <c r="B64" s="6">
        <v>0.271154582656701</v>
      </c>
      <c r="C64" s="5">
        <v>-0.23050309755954601</v>
      </c>
      <c r="D64" s="5">
        <v>0.14966282648912199</v>
      </c>
      <c r="E64" s="5">
        <v>-0.30440842290345599</v>
      </c>
      <c r="F64" s="5">
        <v>0.45866371737219802</v>
      </c>
      <c r="G64" s="5">
        <v>-0.43634289563227902</v>
      </c>
      <c r="H64" s="5">
        <v>0.73636810539207698</v>
      </c>
      <c r="I64" s="5">
        <v>-0.60891711122721903</v>
      </c>
      <c r="J64" s="5">
        <v>-0.14761505876558101</v>
      </c>
      <c r="K64" s="5">
        <v>-3.9237935590136601E-2</v>
      </c>
      <c r="L64" s="5">
        <v>8.1655073449225402E-2</v>
      </c>
      <c r="M64" s="5">
        <v>-3.5338842576645799E-3</v>
      </c>
      <c r="N64" s="5">
        <v>0.51857344587624998</v>
      </c>
      <c r="O64" s="5">
        <v>-0.372879340173981</v>
      </c>
      <c r="P64" s="5">
        <v>0.150103664129729</v>
      </c>
      <c r="Q64" s="5">
        <v>-0.26780936595451099</v>
      </c>
      <c r="R64" s="5">
        <v>-3.8063886769544898E-2</v>
      </c>
      <c r="S64" s="5">
        <v>-0.13764885910220701</v>
      </c>
      <c r="T64" s="5">
        <v>0.86841126740047303</v>
      </c>
      <c r="U64" s="5">
        <v>-0.77600446730400696</v>
      </c>
      <c r="V64" s="5">
        <v>0.30848011691239502</v>
      </c>
      <c r="W64" s="5">
        <v>-0.30747867728726502</v>
      </c>
      <c r="X64" s="5">
        <v>0.15557563874541899</v>
      </c>
      <c r="Y64" s="5">
        <v>-0.27459171727262599</v>
      </c>
      <c r="Z64" s="5">
        <v>0.74551717809954898</v>
      </c>
      <c r="AA64" s="5">
        <v>-0.69204089071941399</v>
      </c>
      <c r="AB64" s="5">
        <v>0.12838178769380301</v>
      </c>
      <c r="AC64" s="5">
        <v>-0.22081191342817499</v>
      </c>
      <c r="AD64" s="5">
        <v>0.15942966452712201</v>
      </c>
      <c r="AE64" s="5">
        <v>-0.23756928770763899</v>
      </c>
      <c r="AF64" s="5">
        <v>-0.17293610778485499</v>
      </c>
      <c r="AG64" s="5">
        <v>-6.1091255379273502E-3</v>
      </c>
      <c r="AH64" s="5">
        <v>0.54667766187240296</v>
      </c>
      <c r="AI64" s="5">
        <v>-0.52341799543781797</v>
      </c>
      <c r="AJ64" s="5">
        <v>-0.212480105234924</v>
      </c>
      <c r="AK64" s="5">
        <v>7.43769876632448E-3</v>
      </c>
      <c r="AL64" s="5">
        <v>-0.25460614042346802</v>
      </c>
      <c r="AM64" s="5">
        <v>0.187741595624135</v>
      </c>
      <c r="AN64" s="5">
        <v>0.737712922207855</v>
      </c>
      <c r="AO64" s="5">
        <v>-0.69041308837119497</v>
      </c>
      <c r="AP64" s="5">
        <v>0.58771383993294402</v>
      </c>
      <c r="AQ64" s="5">
        <v>-0.44832473359453101</v>
      </c>
      <c r="AR64" s="5">
        <v>-0.134777662033469</v>
      </c>
      <c r="AS64" s="5">
        <v>-6.2987981526898299E-3</v>
      </c>
      <c r="AT64" s="5">
        <v>-0.36639119476431298</v>
      </c>
      <c r="AU64" s="5">
        <v>0.29836438182882602</v>
      </c>
      <c r="AV64" s="5">
        <v>-0.13887598876382501</v>
      </c>
      <c r="AW64" s="5">
        <v>-6.1195041676621501E-2</v>
      </c>
      <c r="AX64" s="5">
        <v>-0.102702145452629</v>
      </c>
      <c r="AY64" s="5">
        <v>-0.17148630040260099</v>
      </c>
      <c r="AZ64" s="5">
        <v>0.19253953697993001</v>
      </c>
      <c r="BA64" s="5">
        <v>-0.257374841854005</v>
      </c>
      <c r="BB64" s="5">
        <v>-3.84269558809439E-2</v>
      </c>
      <c r="BC64" s="5">
        <v>-0.156163055740139</v>
      </c>
      <c r="BD64" s="5">
        <v>0.40996254920175301</v>
      </c>
      <c r="BE64" s="5">
        <v>-0.33931896388314498</v>
      </c>
      <c r="BF64" s="5">
        <v>0.14419872195793601</v>
      </c>
      <c r="BG64" s="5">
        <v>-0.319599967460027</v>
      </c>
      <c r="BH64" s="5">
        <v>7.0563867000738398E-2</v>
      </c>
      <c r="BI64" s="5">
        <v>-0.20775951324932501</v>
      </c>
      <c r="BJ64" s="5">
        <v>0.48926138406332398</v>
      </c>
      <c r="BK64" s="5">
        <v>-0.193045657010773</v>
      </c>
      <c r="BL64" s="5">
        <v>1</v>
      </c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</row>
    <row r="65" spans="1:389" x14ac:dyDescent="0.45">
      <c r="A65" s="4" t="str">
        <f ca="1">"CHE / beta2dist in "&amp;CELL("address",'damages-1990'!$K$33)</f>
        <v>CHE / beta2dist in '[BHM betas v3pd.xlsx]damages-1990'!$K$33</v>
      </c>
      <c r="B65" s="6">
        <v>-5.5814407584189499E-2</v>
      </c>
      <c r="C65" s="5">
        <v>8.5947700488568493E-2</v>
      </c>
      <c r="D65" s="5">
        <v>-0.20979122188883101</v>
      </c>
      <c r="E65" s="5">
        <v>0.34221833822672498</v>
      </c>
      <c r="F65" s="5">
        <v>-0.26937259000039299</v>
      </c>
      <c r="G65" s="5">
        <v>0.36463078775189101</v>
      </c>
      <c r="H65" s="5">
        <v>-0.61532476134607905</v>
      </c>
      <c r="I65" s="5">
        <v>0.672169098057112</v>
      </c>
      <c r="J65" s="5">
        <v>0.164242428174211</v>
      </c>
      <c r="K65" s="5">
        <v>-3.5060003969827697E-2</v>
      </c>
      <c r="L65" s="5">
        <v>5.8694760035179303E-2</v>
      </c>
      <c r="M65" s="5">
        <v>-9.1296489340170497E-2</v>
      </c>
      <c r="N65" s="5">
        <v>-0.39060842471499602</v>
      </c>
      <c r="O65" s="5">
        <v>0.43251580140863399</v>
      </c>
      <c r="P65" s="5">
        <v>-0.206618591192849</v>
      </c>
      <c r="Q65" s="5">
        <v>0.30200876020876399</v>
      </c>
      <c r="R65" s="5">
        <v>5.8844144226241901E-2</v>
      </c>
      <c r="S65" s="5">
        <v>0.10225441623869</v>
      </c>
      <c r="T65" s="5">
        <v>-0.76737228668052904</v>
      </c>
      <c r="U65" s="5">
        <v>0.852048664709671</v>
      </c>
      <c r="V65" s="5">
        <v>-0.12800805516841901</v>
      </c>
      <c r="W65" s="5">
        <v>0.22583386585541301</v>
      </c>
      <c r="X65" s="5">
        <v>-0.177800615418854</v>
      </c>
      <c r="Y65" s="5">
        <v>0.28281518415294599</v>
      </c>
      <c r="Z65" s="5">
        <v>-0.58945400495648304</v>
      </c>
      <c r="AA65" s="5">
        <v>0.70806136694291399</v>
      </c>
      <c r="AB65" s="5">
        <v>-0.189815983597516</v>
      </c>
      <c r="AC65" s="5">
        <v>0.230983631607134</v>
      </c>
      <c r="AD65" s="5">
        <v>-0.18196171391058599</v>
      </c>
      <c r="AE65" s="5">
        <v>0.21633458487436799</v>
      </c>
      <c r="AF65" s="5">
        <v>0.117714633686373</v>
      </c>
      <c r="AG65" s="5">
        <v>2.7132137961650999E-2</v>
      </c>
      <c r="AH65" s="5">
        <v>-0.38587049692529801</v>
      </c>
      <c r="AI65" s="5">
        <v>0.50464428301496</v>
      </c>
      <c r="AJ65" s="5">
        <v>0.24976000991405101</v>
      </c>
      <c r="AK65" s="5">
        <v>-0.101651180963336</v>
      </c>
      <c r="AL65" s="5">
        <v>0.24713822581990799</v>
      </c>
      <c r="AM65" s="5">
        <v>-0.219260948001823</v>
      </c>
      <c r="AN65" s="5">
        <v>-0.57790817535990902</v>
      </c>
      <c r="AO65" s="5">
        <v>0.70232301179214296</v>
      </c>
      <c r="AP65" s="5">
        <v>-0.43810415479689502</v>
      </c>
      <c r="AQ65" s="5">
        <v>0.44271047202951802</v>
      </c>
      <c r="AR65" s="5">
        <v>7.80385116644388E-2</v>
      </c>
      <c r="AS65" s="5">
        <v>3.1995376516897801E-2</v>
      </c>
      <c r="AT65" s="5">
        <v>0.39714378007423401</v>
      </c>
      <c r="AU65" s="5">
        <v>-0.37208196512770397</v>
      </c>
      <c r="AV65" s="5">
        <v>0.12960347080503901</v>
      </c>
      <c r="AW65" s="5">
        <v>4.8114673706570098E-2</v>
      </c>
      <c r="AX65" s="5">
        <v>4.39123950590199E-2</v>
      </c>
      <c r="AY65" s="5">
        <v>0.19720753376317701</v>
      </c>
      <c r="AZ65" s="5">
        <v>-0.25024313591316</v>
      </c>
      <c r="BA65" s="5">
        <v>0.28787859821518802</v>
      </c>
      <c r="BB65" s="5">
        <v>-1.21628606624671E-2</v>
      </c>
      <c r="BC65" s="5">
        <v>0.16852806958262001</v>
      </c>
      <c r="BD65" s="5">
        <v>-0.165073156862663</v>
      </c>
      <c r="BE65" s="5">
        <v>0.19002821980874901</v>
      </c>
      <c r="BF65" s="5">
        <v>-0.21707506475784799</v>
      </c>
      <c r="BG65" s="5">
        <v>0.37746023383955402</v>
      </c>
      <c r="BH65" s="5">
        <v>-0.13024725099143999</v>
      </c>
      <c r="BI65" s="5">
        <v>0.22611487800982</v>
      </c>
      <c r="BJ65" s="5">
        <v>-0.34450573344212199</v>
      </c>
      <c r="BK65" s="5">
        <v>0.197385478026948</v>
      </c>
      <c r="BL65" s="5">
        <v>-0.89847621985895698</v>
      </c>
      <c r="BM65" s="5">
        <v>1</v>
      </c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</row>
    <row r="66" spans="1:389" x14ac:dyDescent="0.45">
      <c r="A66" s="4" t="str">
        <f ca="1">"CHL / beta1dist in "&amp;CELL("address",'damages-1990'!$J$34)</f>
        <v>CHL / beta1dist in '[BHM betas v3pd.xlsx]damages-1990'!$J$34</v>
      </c>
      <c r="B66" s="6">
        <v>0.45305486474589801</v>
      </c>
      <c r="C66" s="5">
        <v>-0.26442898473788601</v>
      </c>
      <c r="D66" s="5">
        <v>-6.7490264518708001E-2</v>
      </c>
      <c r="E66" s="5">
        <v>2.3826891864569599E-2</v>
      </c>
      <c r="F66" s="5">
        <v>0.48867107983396502</v>
      </c>
      <c r="G66" s="5">
        <v>-0.27669798317571598</v>
      </c>
      <c r="H66" s="5">
        <v>0.46510579017119502</v>
      </c>
      <c r="I66" s="5">
        <v>-0.28287332334604598</v>
      </c>
      <c r="J66" s="5">
        <v>-0.19991589357880901</v>
      </c>
      <c r="K66" s="5">
        <v>0.12920850974547199</v>
      </c>
      <c r="L66" s="5">
        <v>0.19246016323898099</v>
      </c>
      <c r="M66" s="5">
        <v>-1.6623342137864899E-2</v>
      </c>
      <c r="N66" s="5">
        <v>0.43858622512712903</v>
      </c>
      <c r="O66" s="5">
        <v>-0.13119858310711399</v>
      </c>
      <c r="P66" s="5">
        <v>9.4141449765826807E-2</v>
      </c>
      <c r="Q66" s="5">
        <v>-0.119080866817911</v>
      </c>
      <c r="R66" s="5">
        <v>-6.6007632145664297E-2</v>
      </c>
      <c r="S66" s="5">
        <v>1.9845234612096401E-2</v>
      </c>
      <c r="T66" s="5">
        <v>0.373499180624214</v>
      </c>
      <c r="U66" s="5">
        <v>-0.16537132368909699</v>
      </c>
      <c r="V66" s="5">
        <v>0.46721036475232702</v>
      </c>
      <c r="W66" s="5">
        <v>-0.30432265081777299</v>
      </c>
      <c r="X66" s="5">
        <v>3.2782924048608102E-2</v>
      </c>
      <c r="Y66" s="5">
        <v>-3.7371491718016098E-2</v>
      </c>
      <c r="Z66" s="5">
        <v>0.53820873758802101</v>
      </c>
      <c r="AA66" s="5">
        <v>-0.300110281953131</v>
      </c>
      <c r="AB66" s="5">
        <v>-0.164643191552759</v>
      </c>
      <c r="AC66" s="5">
        <v>9.4485250584870395E-2</v>
      </c>
      <c r="AD66" s="5">
        <v>-8.8369334766012803E-2</v>
      </c>
      <c r="AE66" s="5">
        <v>8.8011301840498594E-3</v>
      </c>
      <c r="AF66" s="5">
        <v>-6.64231618789137E-2</v>
      </c>
      <c r="AG66" s="5">
        <v>1.70885204349462E-2</v>
      </c>
      <c r="AH66" s="5">
        <v>0.46350864825938598</v>
      </c>
      <c r="AI66" s="5">
        <v>-0.22475183807081101</v>
      </c>
      <c r="AJ66" s="5">
        <v>-0.17317086820451</v>
      </c>
      <c r="AK66" s="5">
        <v>9.65774963034048E-2</v>
      </c>
      <c r="AL66" s="5">
        <v>-0.106316240803166</v>
      </c>
      <c r="AM66" s="5">
        <v>7.5107772922273996E-2</v>
      </c>
      <c r="AN66" s="5">
        <v>0.44818061414299598</v>
      </c>
      <c r="AO66" s="5">
        <v>-0.199900001546578</v>
      </c>
      <c r="AP66" s="5">
        <v>0.33511793547350399</v>
      </c>
      <c r="AQ66" s="5">
        <v>-0.11968986209832699</v>
      </c>
      <c r="AR66" s="5">
        <v>-0.20922557671651601</v>
      </c>
      <c r="AS66" s="5">
        <v>0.159080636493309</v>
      </c>
      <c r="AT66" s="5">
        <v>-0.17497615896569299</v>
      </c>
      <c r="AU66" s="5">
        <v>0.15976748784783401</v>
      </c>
      <c r="AV66" s="5">
        <v>-0.100470730394944</v>
      </c>
      <c r="AW66" s="5">
        <v>1.3571191924308799E-2</v>
      </c>
      <c r="AX66" s="5">
        <v>-0.19093572703478001</v>
      </c>
      <c r="AY66" s="5">
        <v>8.1680969574211199E-2</v>
      </c>
      <c r="AZ66" s="5">
        <v>-8.8025649356750696E-2</v>
      </c>
      <c r="BA66" s="5">
        <v>7.0177076843801797E-2</v>
      </c>
      <c r="BB66" s="5">
        <v>-0.17839545451792899</v>
      </c>
      <c r="BC66" s="5">
        <v>9.9781457852377797E-2</v>
      </c>
      <c r="BD66" s="5">
        <v>0.51804722855469199</v>
      </c>
      <c r="BE66" s="5">
        <v>-0.30823018855622297</v>
      </c>
      <c r="BF66" s="5">
        <v>-9.8764432866031399E-2</v>
      </c>
      <c r="BG66" s="5">
        <v>6.9858612716130905E-2</v>
      </c>
      <c r="BH66" s="5">
        <v>-0.15496519426080901</v>
      </c>
      <c r="BI66" s="5">
        <v>9.9225405671989397E-2</v>
      </c>
      <c r="BJ66" s="5">
        <v>0.35988426417265701</v>
      </c>
      <c r="BK66" s="5">
        <v>-0.114196523661689</v>
      </c>
      <c r="BL66" s="5">
        <v>0.386337016477724</v>
      </c>
      <c r="BM66" s="5">
        <v>-0.179461056613123</v>
      </c>
      <c r="BN66" s="5">
        <v>1</v>
      </c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</row>
    <row r="67" spans="1:389" x14ac:dyDescent="0.45">
      <c r="A67" s="4" t="str">
        <f ca="1">"CHL / beta2dist in "&amp;CELL("address",'damages-1990'!$K$34)</f>
        <v>CHL / beta2dist in '[BHM betas v3pd.xlsx]damages-1990'!$K$34</v>
      </c>
      <c r="B67" s="6">
        <v>-7.4370220000448906E-2</v>
      </c>
      <c r="C67" s="5">
        <v>0.11278844033735</v>
      </c>
      <c r="D67" s="5">
        <v>0.224382695623284</v>
      </c>
      <c r="E67" s="5">
        <v>-0.124313320699108</v>
      </c>
      <c r="F67" s="5">
        <v>-9.9795581937678193E-2</v>
      </c>
      <c r="G67" s="5">
        <v>0.118757685902659</v>
      </c>
      <c r="H67" s="5">
        <v>-0.318485438573957</v>
      </c>
      <c r="I67" s="5">
        <v>0.32176253497713803</v>
      </c>
      <c r="J67" s="5">
        <v>0.353640830807606</v>
      </c>
      <c r="K67" s="5">
        <v>-0.24716259762117701</v>
      </c>
      <c r="L67" s="5">
        <v>0.135710119046277</v>
      </c>
      <c r="M67" s="5">
        <v>-0.12890807820566899</v>
      </c>
      <c r="N67" s="5">
        <v>-0.141425840321076</v>
      </c>
      <c r="O67" s="5">
        <v>5.58542969067529E-2</v>
      </c>
      <c r="P67" s="5">
        <v>-7.1694522527320795E-2</v>
      </c>
      <c r="Q67" s="5">
        <v>0.11112292736212501</v>
      </c>
      <c r="R67" s="5">
        <v>0.24359319970900301</v>
      </c>
      <c r="S67" s="5">
        <v>-0.11423717620304499</v>
      </c>
      <c r="T67" s="5">
        <v>-0.146736064132267</v>
      </c>
      <c r="U67" s="5">
        <v>0.111684615310155</v>
      </c>
      <c r="V67" s="5">
        <v>-9.7951916764104599E-2</v>
      </c>
      <c r="W67" s="5">
        <v>0.172837598301781</v>
      </c>
      <c r="X67" s="5">
        <v>0.128683070744876</v>
      </c>
      <c r="Y67" s="5">
        <v>-3.88450984389965E-2</v>
      </c>
      <c r="Z67" s="5">
        <v>-0.25595724184382301</v>
      </c>
      <c r="AA67" s="5">
        <v>0.23921791862328801</v>
      </c>
      <c r="AB67" s="5">
        <v>0.24159074241741799</v>
      </c>
      <c r="AC67" s="5">
        <v>-0.16260969066635</v>
      </c>
      <c r="AD67" s="5">
        <v>0.16085142992107301</v>
      </c>
      <c r="AE67" s="5">
        <v>-4.9663074460644899E-2</v>
      </c>
      <c r="AF67" s="5">
        <v>0.16234970273445801</v>
      </c>
      <c r="AG67" s="5">
        <v>-9.0292910462080198E-2</v>
      </c>
      <c r="AH67" s="5">
        <v>-9.1792602872394394E-2</v>
      </c>
      <c r="AI67" s="5">
        <v>8.46353693605056E-2</v>
      </c>
      <c r="AJ67" s="5">
        <v>0.31171886997909298</v>
      </c>
      <c r="AK67" s="5">
        <v>-0.197240900278109</v>
      </c>
      <c r="AL67" s="5">
        <v>0.134517028181175</v>
      </c>
      <c r="AM67" s="5">
        <v>-6.6759315257372401E-2</v>
      </c>
      <c r="AN67" s="5">
        <v>-9.3779215385814199E-2</v>
      </c>
      <c r="AO67" s="5">
        <v>7.3233850772452494E-2</v>
      </c>
      <c r="AP67" s="5">
        <v>-8.3843364168105797E-2</v>
      </c>
      <c r="AQ67" s="5">
        <v>2.8895238101700499E-2</v>
      </c>
      <c r="AR67" s="5">
        <v>0.30038751277263098</v>
      </c>
      <c r="AS67" s="5">
        <v>-0.21302839902752699</v>
      </c>
      <c r="AT67" s="5">
        <v>0.260583233079344</v>
      </c>
      <c r="AU67" s="5">
        <v>-0.205140629365547</v>
      </c>
      <c r="AV67" s="5">
        <v>0.23811041149031001</v>
      </c>
      <c r="AW67" s="5">
        <v>-6.8977942814899496E-2</v>
      </c>
      <c r="AX67" s="5">
        <v>0.30117804046611701</v>
      </c>
      <c r="AY67" s="5">
        <v>-0.15763009696154701</v>
      </c>
      <c r="AZ67" s="5">
        <v>0.16404271779468199</v>
      </c>
      <c r="BA67" s="5">
        <v>-0.13354090723133899</v>
      </c>
      <c r="BB67" s="5">
        <v>0.31683804356905199</v>
      </c>
      <c r="BC67" s="5">
        <v>-0.208649145052788</v>
      </c>
      <c r="BD67" s="5">
        <v>-0.12937364121928999</v>
      </c>
      <c r="BE67" s="5">
        <v>0.18211409573387199</v>
      </c>
      <c r="BF67" s="5">
        <v>0.206232105546623</v>
      </c>
      <c r="BG67" s="5">
        <v>-0.13362607514799399</v>
      </c>
      <c r="BH67" s="5">
        <v>0.29947632094325499</v>
      </c>
      <c r="BI67" s="5">
        <v>-0.212946641838514</v>
      </c>
      <c r="BJ67" s="5">
        <v>-0.20843156265728799</v>
      </c>
      <c r="BK67" s="5">
        <v>0.119380328419382</v>
      </c>
      <c r="BL67" s="5">
        <v>-0.17183971637988699</v>
      </c>
      <c r="BM67" s="5">
        <v>0.13793457489019301</v>
      </c>
      <c r="BN67" s="5">
        <v>-0.83769219344307</v>
      </c>
      <c r="BO67" s="5">
        <v>1</v>
      </c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</row>
    <row r="68" spans="1:389" x14ac:dyDescent="0.45">
      <c r="A68" s="4" t="str">
        <f ca="1">"CHN / beta1dist in "&amp;CELL("address",'damages-1990'!$J$35)</f>
        <v>CHN / beta1dist in '[BHM betas v3pd.xlsx]damages-1990'!$J$35</v>
      </c>
      <c r="B68" s="6">
        <v>0.45145688191981398</v>
      </c>
      <c r="C68" s="5">
        <v>-0.33222650952812099</v>
      </c>
      <c r="D68" s="5">
        <v>-9.3129869602800203E-2</v>
      </c>
      <c r="E68" s="5">
        <v>7.5858660894062499E-3</v>
      </c>
      <c r="F68" s="5">
        <v>0.54879126883154306</v>
      </c>
      <c r="G68" s="5">
        <v>-0.396506579901164</v>
      </c>
      <c r="H68" s="5">
        <v>0.60809243134916002</v>
      </c>
      <c r="I68" s="5">
        <v>-0.35937816934647998</v>
      </c>
      <c r="J68" s="5">
        <v>-0.200223757501093</v>
      </c>
      <c r="K68" s="5">
        <v>1.9715659063685598E-2</v>
      </c>
      <c r="L68" s="5">
        <v>0.21959377227353299</v>
      </c>
      <c r="M68" s="5">
        <v>-0.113505314417903</v>
      </c>
      <c r="N68" s="5">
        <v>0.46827867385919703</v>
      </c>
      <c r="O68" s="5">
        <v>-9.3204467992853798E-2</v>
      </c>
      <c r="P68" s="5">
        <v>-0.137492615746348</v>
      </c>
      <c r="Q68" s="5">
        <v>5.6641223975525699E-2</v>
      </c>
      <c r="R68" s="5">
        <v>-0.11551538045005399</v>
      </c>
      <c r="S68" s="5">
        <v>2.18643068212332E-2</v>
      </c>
      <c r="T68" s="5">
        <v>0.51993720519672804</v>
      </c>
      <c r="U68" s="5">
        <v>-0.270132948654493</v>
      </c>
      <c r="V68" s="5">
        <v>0.46274004843172001</v>
      </c>
      <c r="W68" s="5">
        <v>-0.36763747124913798</v>
      </c>
      <c r="X68" s="5">
        <v>-4.7310992078887101E-2</v>
      </c>
      <c r="Y68" s="5">
        <v>-1.9593857877274402E-2</v>
      </c>
      <c r="Z68" s="5">
        <v>0.64916459183738495</v>
      </c>
      <c r="AA68" s="5">
        <v>-0.42934543459445901</v>
      </c>
      <c r="AB68" s="5">
        <v>-0.159136924199097</v>
      </c>
      <c r="AC68" s="5">
        <v>0.114526418899247</v>
      </c>
      <c r="AD68" s="5">
        <v>-7.3043031172235304E-2</v>
      </c>
      <c r="AE68" s="5">
        <v>2.7261899899769199E-2</v>
      </c>
      <c r="AF68" s="5">
        <v>-0.30390582211252498</v>
      </c>
      <c r="AG68" s="5">
        <v>0.17933313914777799</v>
      </c>
      <c r="AH68" s="5">
        <v>0.569249785999692</v>
      </c>
      <c r="AI68" s="5">
        <v>-0.375909738614148</v>
      </c>
      <c r="AJ68" s="5">
        <v>-0.217071229649831</v>
      </c>
      <c r="AK68" s="5">
        <v>-3.0577110593620802E-3</v>
      </c>
      <c r="AL68" s="5">
        <v>-0.138656149986956</v>
      </c>
      <c r="AM68" s="5">
        <v>4.5845979590368E-2</v>
      </c>
      <c r="AN68" s="5">
        <v>0.57946875543669196</v>
      </c>
      <c r="AO68" s="5">
        <v>-0.324555223339695</v>
      </c>
      <c r="AP68" s="5">
        <v>0.60804071259482195</v>
      </c>
      <c r="AQ68" s="5">
        <v>-0.37016769782124698</v>
      </c>
      <c r="AR68" s="5">
        <v>-0.23169602026182101</v>
      </c>
      <c r="AS68" s="5">
        <v>0.13411152070555399</v>
      </c>
      <c r="AT68" s="5">
        <v>-0.17192695346067499</v>
      </c>
      <c r="AU68" s="5">
        <v>0.10988281441902301</v>
      </c>
      <c r="AV68" s="5">
        <v>-0.22306149358335001</v>
      </c>
      <c r="AW68" s="5">
        <v>0.135396466205286</v>
      </c>
      <c r="AX68" s="5">
        <v>-0.29612268920499302</v>
      </c>
      <c r="AY68" s="5">
        <v>0.16020574899075701</v>
      </c>
      <c r="AZ68" s="5">
        <v>-0.213756156097517</v>
      </c>
      <c r="BA68" s="5">
        <v>0.14796332952965899</v>
      </c>
      <c r="BB68" s="5">
        <v>-0.114128324434146</v>
      </c>
      <c r="BC68" s="5">
        <v>-3.7237331516519298E-2</v>
      </c>
      <c r="BD68" s="5">
        <v>0.67658720420702001</v>
      </c>
      <c r="BE68" s="5">
        <v>-0.54639300156274995</v>
      </c>
      <c r="BF68" s="5">
        <v>-0.119950337650995</v>
      </c>
      <c r="BG68" s="5">
        <v>1.3746343087294499E-2</v>
      </c>
      <c r="BH68" s="5">
        <v>-0.19251216660552101</v>
      </c>
      <c r="BI68" s="5">
        <v>0.12964518632410901</v>
      </c>
      <c r="BJ68" s="5">
        <v>0.57554932399375403</v>
      </c>
      <c r="BK68" s="5">
        <v>-0.23097907608951199</v>
      </c>
      <c r="BL68" s="5">
        <v>0.509507976436543</v>
      </c>
      <c r="BM68" s="5">
        <v>-0.246177684663999</v>
      </c>
      <c r="BN68" s="5">
        <v>0.62969366701218998</v>
      </c>
      <c r="BO68" s="5">
        <v>-0.324435948339932</v>
      </c>
      <c r="BP68" s="5">
        <v>1</v>
      </c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</row>
    <row r="69" spans="1:389" x14ac:dyDescent="0.45">
      <c r="A69" s="4" t="str">
        <f ca="1">"CHN / beta2dist in "&amp;CELL("address",'damages-1990'!$K$35)</f>
        <v>CHN / beta2dist in '[BHM betas v3pd.xlsx]damages-1990'!$K$35</v>
      </c>
      <c r="B69" s="6">
        <v>-0.12665391876190299</v>
      </c>
      <c r="C69" s="5">
        <v>0.23205008007595601</v>
      </c>
      <c r="D69" s="5">
        <v>0.28693968249692903</v>
      </c>
      <c r="E69" s="5">
        <v>-0.162068611238704</v>
      </c>
      <c r="F69" s="5">
        <v>-0.20885511817603</v>
      </c>
      <c r="G69" s="5">
        <v>0.278160577098509</v>
      </c>
      <c r="H69" s="5">
        <v>-0.52761187565745205</v>
      </c>
      <c r="I69" s="5">
        <v>0.44262926468413899</v>
      </c>
      <c r="J69" s="5">
        <v>0.35044682751516298</v>
      </c>
      <c r="K69" s="5">
        <v>-0.12189194285546499</v>
      </c>
      <c r="L69" s="5">
        <v>6.1959452115836498E-2</v>
      </c>
      <c r="M69" s="5">
        <v>1.5456310346195601E-2</v>
      </c>
      <c r="N69" s="5">
        <v>-0.19210999301530299</v>
      </c>
      <c r="O69" s="5">
        <v>-1.15688620793353E-3</v>
      </c>
      <c r="P69" s="5">
        <v>0.29020742023332102</v>
      </c>
      <c r="Q69" s="5">
        <v>-0.19257706301556499</v>
      </c>
      <c r="R69" s="5">
        <v>0.32900855966447301</v>
      </c>
      <c r="S69" s="5">
        <v>-0.171751680162153</v>
      </c>
      <c r="T69" s="5">
        <v>-0.33038900709703101</v>
      </c>
      <c r="U69" s="5">
        <v>0.22951285083950801</v>
      </c>
      <c r="V69" s="5">
        <v>-0.144961704525784</v>
      </c>
      <c r="W69" s="5">
        <v>0.28987607166222501</v>
      </c>
      <c r="X69" s="5">
        <v>0.25627127049945098</v>
      </c>
      <c r="Y69" s="5">
        <v>-0.116582252515784</v>
      </c>
      <c r="Z69" s="5">
        <v>-0.43489871541393899</v>
      </c>
      <c r="AA69" s="5">
        <v>0.42589551630730499</v>
      </c>
      <c r="AB69" s="5">
        <v>0.274889895327037</v>
      </c>
      <c r="AC69" s="5">
        <v>-0.260058473344635</v>
      </c>
      <c r="AD69" s="5">
        <v>0.17306761423734099</v>
      </c>
      <c r="AE69" s="5">
        <v>-0.13340698965106099</v>
      </c>
      <c r="AF69" s="5">
        <v>0.47210857282646101</v>
      </c>
      <c r="AG69" s="5">
        <v>-0.31856800477673902</v>
      </c>
      <c r="AH69" s="5">
        <v>-0.25252459596855398</v>
      </c>
      <c r="AI69" s="5">
        <v>0.27721116015205799</v>
      </c>
      <c r="AJ69" s="5">
        <v>0.37023054428305402</v>
      </c>
      <c r="AK69" s="5">
        <v>-8.2726480597964405E-2</v>
      </c>
      <c r="AL69" s="5">
        <v>0.17609558836129699</v>
      </c>
      <c r="AM69" s="5">
        <v>-3.8812873884419702E-2</v>
      </c>
      <c r="AN69" s="5">
        <v>-0.26996910585810102</v>
      </c>
      <c r="AO69" s="5">
        <v>0.21535951949366999</v>
      </c>
      <c r="AP69" s="5">
        <v>-0.46462457723207501</v>
      </c>
      <c r="AQ69" s="5">
        <v>0.37623890748035299</v>
      </c>
      <c r="AR69" s="5">
        <v>0.34577217980027097</v>
      </c>
      <c r="AS69" s="5">
        <v>-0.219018610660766</v>
      </c>
      <c r="AT69" s="5">
        <v>0.26991604647100798</v>
      </c>
      <c r="AU69" s="5">
        <v>-0.162018088635417</v>
      </c>
      <c r="AV69" s="5">
        <v>0.438227186418297</v>
      </c>
      <c r="AW69" s="5">
        <v>-0.319715323719235</v>
      </c>
      <c r="AX69" s="5">
        <v>0.48299333476766199</v>
      </c>
      <c r="AY69" s="5">
        <v>-0.352383958996557</v>
      </c>
      <c r="AZ69" s="5">
        <v>0.39817820361040501</v>
      </c>
      <c r="BA69" s="5">
        <v>-0.32463697098858202</v>
      </c>
      <c r="BB69" s="5">
        <v>0.215731979532616</v>
      </c>
      <c r="BC69" s="5">
        <v>-2.9110624922241E-2</v>
      </c>
      <c r="BD69" s="5">
        <v>-0.38292357671817201</v>
      </c>
      <c r="BE69" s="5">
        <v>0.51452767098509999</v>
      </c>
      <c r="BF69" s="5">
        <v>0.28719863065426299</v>
      </c>
      <c r="BG69" s="5">
        <v>-0.134728164423568</v>
      </c>
      <c r="BH69" s="5">
        <v>0.36359115658172902</v>
      </c>
      <c r="BI69" s="5">
        <v>-0.30564530538529899</v>
      </c>
      <c r="BJ69" s="5">
        <v>-0.50329117387369104</v>
      </c>
      <c r="BK69" s="5">
        <v>0.292755994220608</v>
      </c>
      <c r="BL69" s="5">
        <v>-0.32525466787920498</v>
      </c>
      <c r="BM69" s="5">
        <v>0.20751281608726099</v>
      </c>
      <c r="BN69" s="5">
        <v>-0.41862761397853798</v>
      </c>
      <c r="BO69" s="5">
        <v>0.382177221775089</v>
      </c>
      <c r="BP69" s="5">
        <v>-0.85024382773242202</v>
      </c>
      <c r="BQ69" s="5">
        <v>1</v>
      </c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</row>
    <row r="70" spans="1:389" x14ac:dyDescent="0.45">
      <c r="A70" s="4" t="str">
        <f ca="1">"CIV / beta1dist in "&amp;CELL("address",'damages-1990'!$J$36)</f>
        <v>CIV / beta1dist in '[BHM betas v3pd.xlsx]damages-1990'!$J$36</v>
      </c>
      <c r="B70" s="6">
        <v>0.19710452446682999</v>
      </c>
      <c r="C70" s="5">
        <v>3.2007522751918399E-2</v>
      </c>
      <c r="D70" s="5">
        <v>0.57838789175334504</v>
      </c>
      <c r="E70" s="5">
        <v>-0.39318492872244598</v>
      </c>
      <c r="F70" s="5">
        <v>0.20427508649475401</v>
      </c>
      <c r="G70" s="5">
        <v>-9.2536505069178196E-2</v>
      </c>
      <c r="H70" s="5">
        <v>4.6445501596350199E-2</v>
      </c>
      <c r="I70" s="5">
        <v>-4.59391569019348E-2</v>
      </c>
      <c r="J70" s="5">
        <v>0.53125922179392504</v>
      </c>
      <c r="K70" s="5">
        <v>-0.367620983597366</v>
      </c>
      <c r="L70" s="5">
        <v>0.29337313930893899</v>
      </c>
      <c r="M70" s="5">
        <v>-3.7910151576299699E-2</v>
      </c>
      <c r="N70" s="5">
        <v>-7.13006463335287E-2</v>
      </c>
      <c r="O70" s="5">
        <v>8.8517552224088303E-2</v>
      </c>
      <c r="P70" s="5">
        <v>0.41798932699461799</v>
      </c>
      <c r="Q70" s="5">
        <v>-0.33454141085985301</v>
      </c>
      <c r="R70" s="5">
        <v>0.55413360797745803</v>
      </c>
      <c r="S70" s="5">
        <v>-0.42759528034466299</v>
      </c>
      <c r="T70" s="5">
        <v>0.16852626052080899</v>
      </c>
      <c r="U70" s="5">
        <v>-0.196943996050886</v>
      </c>
      <c r="V70" s="5">
        <v>0.13971456826446099</v>
      </c>
      <c r="W70" s="5">
        <v>0.15900349006878001</v>
      </c>
      <c r="X70" s="5">
        <v>0.56656177499543803</v>
      </c>
      <c r="Y70" s="5">
        <v>-0.38758949236304202</v>
      </c>
      <c r="Z70" s="5">
        <v>0.15851529137849901</v>
      </c>
      <c r="AA70" s="5">
        <v>-0.125580596803405</v>
      </c>
      <c r="AB70" s="5">
        <v>0.68555901584990497</v>
      </c>
      <c r="AC70" s="5">
        <v>-0.54068784465212405</v>
      </c>
      <c r="AD70" s="5">
        <v>0.763462563455923</v>
      </c>
      <c r="AE70" s="5">
        <v>-0.55036224851788096</v>
      </c>
      <c r="AF70" s="5">
        <v>0.14732845138740899</v>
      </c>
      <c r="AG70" s="5">
        <v>-1.74432427572754E-2</v>
      </c>
      <c r="AH70" s="5">
        <v>0.18760615037015299</v>
      </c>
      <c r="AI70" s="5">
        <v>-0.10865265965382701</v>
      </c>
      <c r="AJ70" s="5">
        <v>0.43784201385999599</v>
      </c>
      <c r="AK70" s="5">
        <v>-0.28078646454811901</v>
      </c>
      <c r="AL70" s="5">
        <v>0.17555055045631099</v>
      </c>
      <c r="AM70" s="5">
        <v>-8.1890103263959096E-2</v>
      </c>
      <c r="AN70" s="5">
        <v>0.152926633352474</v>
      </c>
      <c r="AO70" s="5">
        <v>-0.114512902219588</v>
      </c>
      <c r="AP70" s="5">
        <v>0.107446484319683</v>
      </c>
      <c r="AQ70" s="5">
        <v>-0.114454260111509</v>
      </c>
      <c r="AR70" s="5">
        <v>0.41719953099239299</v>
      </c>
      <c r="AS70" s="5">
        <v>-0.29675269384145198</v>
      </c>
      <c r="AT70" s="5">
        <v>3.1988090039346197E-2</v>
      </c>
      <c r="AU70" s="5">
        <v>0.114408568476859</v>
      </c>
      <c r="AV70" s="5">
        <v>0.451126169051773</v>
      </c>
      <c r="AW70" s="5">
        <v>-0.36658275740666302</v>
      </c>
      <c r="AX70" s="5">
        <v>0.53436662624430797</v>
      </c>
      <c r="AY70" s="5">
        <v>-0.47578191550407101</v>
      </c>
      <c r="AZ70" s="5">
        <v>0.44124285621235698</v>
      </c>
      <c r="BA70" s="5">
        <v>-0.36937927640032298</v>
      </c>
      <c r="BB70" s="5">
        <v>0.59423592625425004</v>
      </c>
      <c r="BC70" s="5">
        <v>-0.41245455719836199</v>
      </c>
      <c r="BD70" s="5">
        <v>0.13712215097501801</v>
      </c>
      <c r="BE70" s="5">
        <v>6.3794906905962095E-2</v>
      </c>
      <c r="BF70" s="5">
        <v>0.49765232980926299</v>
      </c>
      <c r="BG70" s="5">
        <v>-0.35449607713573</v>
      </c>
      <c r="BH70" s="5">
        <v>0.69182053102126295</v>
      </c>
      <c r="BI70" s="5">
        <v>-0.52806412997073704</v>
      </c>
      <c r="BJ70" s="5">
        <v>-0.153208274605692</v>
      </c>
      <c r="BK70" s="5">
        <v>0.20637374068400399</v>
      </c>
      <c r="BL70" s="5">
        <v>0.18835968890801799</v>
      </c>
      <c r="BM70" s="5">
        <v>-0.22068318882235599</v>
      </c>
      <c r="BN70" s="5">
        <v>-8.0110361320111595E-2</v>
      </c>
      <c r="BO70" s="5">
        <v>0.175543370870341</v>
      </c>
      <c r="BP70" s="5">
        <v>-5.8872325592922298E-2</v>
      </c>
      <c r="BQ70" s="5">
        <v>0.194382545213485</v>
      </c>
      <c r="BR70" s="5">
        <v>1</v>
      </c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</row>
    <row r="71" spans="1:389" x14ac:dyDescent="0.45">
      <c r="A71" s="4" t="str">
        <f ca="1">"CIV / beta2dist in "&amp;CELL("address",'damages-1990'!$K$36)</f>
        <v>CIV / beta2dist in '[BHM betas v3pd.xlsx]damages-1990'!$K$36</v>
      </c>
      <c r="B71" s="6">
        <v>-9.8978831814388199E-2</v>
      </c>
      <c r="C71" s="5">
        <v>0.25069045209302898</v>
      </c>
      <c r="D71" s="5">
        <v>-0.32080369250670998</v>
      </c>
      <c r="E71" s="5">
        <v>0.62638652112442195</v>
      </c>
      <c r="F71" s="5">
        <v>-6.4892141027970807E-2</v>
      </c>
      <c r="G71" s="5">
        <v>0.14169950090209199</v>
      </c>
      <c r="H71" s="5">
        <v>1.41905516846711E-4</v>
      </c>
      <c r="I71" s="5">
        <v>-8.3619708873484105E-2</v>
      </c>
      <c r="J71" s="5">
        <v>-0.29824306115362298</v>
      </c>
      <c r="K71" s="5">
        <v>0.539548989079219</v>
      </c>
      <c r="L71" s="5">
        <v>-3.61980328190908E-2</v>
      </c>
      <c r="M71" s="5">
        <v>0.120637687573076</v>
      </c>
      <c r="N71" s="5">
        <v>3.1258577305150401E-2</v>
      </c>
      <c r="O71" s="5">
        <v>-4.7935802772915703E-2</v>
      </c>
      <c r="P71" s="5">
        <v>-0.45055039398845598</v>
      </c>
      <c r="Q71" s="5">
        <v>0.61809889005414598</v>
      </c>
      <c r="R71" s="5">
        <v>-0.228954732716947</v>
      </c>
      <c r="S71" s="5">
        <v>0.53291675283192697</v>
      </c>
      <c r="T71" s="5">
        <v>-0.233241526193044</v>
      </c>
      <c r="U71" s="5">
        <v>0.25463543129828398</v>
      </c>
      <c r="V71" s="5">
        <v>4.2371493760731099E-2</v>
      </c>
      <c r="W71" s="5">
        <v>-4.4024849320349203E-2</v>
      </c>
      <c r="X71" s="5">
        <v>-0.33158495358566298</v>
      </c>
      <c r="Y71" s="5">
        <v>0.59771247835417496</v>
      </c>
      <c r="Z71" s="5">
        <v>-0.118248545342006</v>
      </c>
      <c r="AA71" s="5">
        <v>0.157907053938006</v>
      </c>
      <c r="AB71" s="5">
        <v>-0.440644551909606</v>
      </c>
      <c r="AC71" s="5">
        <v>0.74011156964783498</v>
      </c>
      <c r="AD71" s="5">
        <v>-0.55020792255726203</v>
      </c>
      <c r="AE71" s="5">
        <v>0.79386354544677196</v>
      </c>
      <c r="AF71" s="5">
        <v>-3.5394457829969701E-2</v>
      </c>
      <c r="AG71" s="5">
        <v>0.27445293755620098</v>
      </c>
      <c r="AH71" s="5">
        <v>-8.0965508834276903E-2</v>
      </c>
      <c r="AI71" s="5">
        <v>0.15094520839493</v>
      </c>
      <c r="AJ71" s="5">
        <v>-0.28457481109553801</v>
      </c>
      <c r="AK71" s="5">
        <v>0.48495484027028501</v>
      </c>
      <c r="AL71" s="5">
        <v>0.14613199970500601</v>
      </c>
      <c r="AM71" s="5">
        <v>-4.9848070092051902E-2</v>
      </c>
      <c r="AN71" s="5">
        <v>-0.16504248587628101</v>
      </c>
      <c r="AO71" s="5">
        <v>0.221586611299153</v>
      </c>
      <c r="AP71" s="5">
        <v>-0.205421811318065</v>
      </c>
      <c r="AQ71" s="5">
        <v>0.238821632967568</v>
      </c>
      <c r="AR71" s="5">
        <v>-0.18390194595631701</v>
      </c>
      <c r="AS71" s="5">
        <v>0.40504449012480198</v>
      </c>
      <c r="AT71" s="5">
        <v>0.25517441191580198</v>
      </c>
      <c r="AU71" s="5">
        <v>-0.215749378601714</v>
      </c>
      <c r="AV71" s="5">
        <v>-0.14607892389679</v>
      </c>
      <c r="AW71" s="5">
        <v>0.51214497120676195</v>
      </c>
      <c r="AX71" s="5">
        <v>-0.26601234652691202</v>
      </c>
      <c r="AY71" s="5">
        <v>0.65760800819199505</v>
      </c>
      <c r="AZ71" s="5">
        <v>-0.46162508244212502</v>
      </c>
      <c r="BA71" s="5">
        <v>0.63881267863365299</v>
      </c>
      <c r="BB71" s="5">
        <v>-0.25883662053904299</v>
      </c>
      <c r="BC71" s="5">
        <v>0.55113679489775902</v>
      </c>
      <c r="BD71" s="5">
        <v>-8.1165162358874304E-2</v>
      </c>
      <c r="BE71" s="5">
        <v>0.19496574879772299</v>
      </c>
      <c r="BF71" s="5">
        <v>-0.26795484670396302</v>
      </c>
      <c r="BG71" s="5">
        <v>0.48790757904037801</v>
      </c>
      <c r="BH71" s="5">
        <v>-0.43886168693404798</v>
      </c>
      <c r="BI71" s="5">
        <v>0.77660720414753603</v>
      </c>
      <c r="BJ71" s="5">
        <v>-5.5554737473125899E-2</v>
      </c>
      <c r="BK71" s="5">
        <v>-0.17414400243652001</v>
      </c>
      <c r="BL71" s="5">
        <v>-0.25032620194577399</v>
      </c>
      <c r="BM71" s="5">
        <v>0.24118904587776399</v>
      </c>
      <c r="BN71" s="5">
        <v>4.3226643415009203E-2</v>
      </c>
      <c r="BO71" s="5">
        <v>-0.11478903083241999</v>
      </c>
      <c r="BP71" s="5">
        <v>3.93399465398575E-2</v>
      </c>
      <c r="BQ71" s="5">
        <v>-0.18485961614871099</v>
      </c>
      <c r="BR71" s="5">
        <v>-0.76827533641833201</v>
      </c>
      <c r="BS71" s="5">
        <v>1</v>
      </c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</row>
    <row r="72" spans="1:389" x14ac:dyDescent="0.45">
      <c r="A72" s="4" t="str">
        <f ca="1">"CMR / beta1dist in "&amp;CELL("address",'damages-1990'!$J$37)</f>
        <v>CMR / beta1dist in '[BHM betas v3pd.xlsx]damages-1990'!$J$37</v>
      </c>
      <c r="B72" s="6">
        <v>0.27822190915878298</v>
      </c>
      <c r="C72" s="5">
        <v>0.12834307535860101</v>
      </c>
      <c r="D72" s="5">
        <v>0.63719377949411105</v>
      </c>
      <c r="E72" s="5">
        <v>-0.23858752151125601</v>
      </c>
      <c r="F72" s="5">
        <v>0.18881712771937201</v>
      </c>
      <c r="G72" s="5">
        <v>7.6337079108980896E-2</v>
      </c>
      <c r="H72" s="5">
        <v>-0.121137564411559</v>
      </c>
      <c r="I72" s="5">
        <v>9.1485320334343104E-2</v>
      </c>
      <c r="J72" s="5">
        <v>0.64634582219310999</v>
      </c>
      <c r="K72" s="5">
        <v>-0.27418306750204902</v>
      </c>
      <c r="L72" s="5">
        <v>0.443847970873539</v>
      </c>
      <c r="M72" s="5">
        <v>-5.0432395569273002E-2</v>
      </c>
      <c r="N72" s="5">
        <v>-9.4926844897539303E-2</v>
      </c>
      <c r="O72" s="5">
        <v>0.11304311029464</v>
      </c>
      <c r="P72" s="5">
        <v>0.39799737477470798</v>
      </c>
      <c r="Q72" s="5">
        <v>-0.20435407773512199</v>
      </c>
      <c r="R72" s="5">
        <v>0.62560485979693203</v>
      </c>
      <c r="S72" s="5">
        <v>-0.26756216515368603</v>
      </c>
      <c r="T72" s="5">
        <v>2.4038921742220099E-2</v>
      </c>
      <c r="U72" s="5">
        <v>-3.26433282374997E-2</v>
      </c>
      <c r="V72" s="5">
        <v>0.207677132049224</v>
      </c>
      <c r="W72" s="5">
        <v>0.248849343141749</v>
      </c>
      <c r="X72" s="5">
        <v>0.60734911880502995</v>
      </c>
      <c r="Y72" s="5">
        <v>-0.21875735530058199</v>
      </c>
      <c r="Z72" s="5">
        <v>7.70610645663172E-2</v>
      </c>
      <c r="AA72" s="5">
        <v>2.4067491472944302E-2</v>
      </c>
      <c r="AB72" s="5">
        <v>0.74710782698297995</v>
      </c>
      <c r="AC72" s="5">
        <v>-0.46712210071416199</v>
      </c>
      <c r="AD72" s="5">
        <v>0.74172661666533202</v>
      </c>
      <c r="AE72" s="5">
        <v>-0.40834407215756602</v>
      </c>
      <c r="AF72" s="5">
        <v>0.39018674130870901</v>
      </c>
      <c r="AG72" s="5">
        <v>-9.5295873101372705E-2</v>
      </c>
      <c r="AH72" s="5">
        <v>0.13965657491074099</v>
      </c>
      <c r="AI72" s="5">
        <v>6.8420487426852805E-2</v>
      </c>
      <c r="AJ72" s="5">
        <v>0.57926131884327903</v>
      </c>
      <c r="AK72" s="5">
        <v>-0.218634847346556</v>
      </c>
      <c r="AL72" s="5">
        <v>0.34867474643427299</v>
      </c>
      <c r="AM72" s="5">
        <v>-0.14959508796841001</v>
      </c>
      <c r="AN72" s="5">
        <v>5.4260481190370302E-2</v>
      </c>
      <c r="AO72" s="5">
        <v>6.3784281402779197E-2</v>
      </c>
      <c r="AP72" s="5">
        <v>-5.63877749315079E-2</v>
      </c>
      <c r="AQ72" s="5">
        <v>6.7756427472665401E-2</v>
      </c>
      <c r="AR72" s="5">
        <v>0.58719968977988601</v>
      </c>
      <c r="AS72" s="5">
        <v>-0.31975252064725401</v>
      </c>
      <c r="AT72" s="5">
        <v>0.21457884783784101</v>
      </c>
      <c r="AU72" s="5">
        <v>1.4082007737715899E-2</v>
      </c>
      <c r="AV72" s="5">
        <v>0.66463592245668102</v>
      </c>
      <c r="AW72" s="5">
        <v>-0.36620447159098402</v>
      </c>
      <c r="AX72" s="5">
        <v>0.72215402292213704</v>
      </c>
      <c r="AY72" s="5">
        <v>-0.43831299326772599</v>
      </c>
      <c r="AZ72" s="5">
        <v>0.49106756991327499</v>
      </c>
      <c r="BA72" s="5">
        <v>-0.29527183698090798</v>
      </c>
      <c r="BB72" s="5">
        <v>0.68969459414805101</v>
      </c>
      <c r="BC72" s="5">
        <v>-0.31073112785603202</v>
      </c>
      <c r="BD72" s="5">
        <v>0.115615765710726</v>
      </c>
      <c r="BE72" s="5">
        <v>0.26205842805875601</v>
      </c>
      <c r="BF72" s="5">
        <v>0.57880785180558703</v>
      </c>
      <c r="BG72" s="5">
        <v>-0.25813736607745402</v>
      </c>
      <c r="BH72" s="5">
        <v>0.80200817562376403</v>
      </c>
      <c r="BI72" s="5">
        <v>-0.45357703886713602</v>
      </c>
      <c r="BJ72" s="5">
        <v>-0.30523148486471002</v>
      </c>
      <c r="BK72" s="5">
        <v>0.23781274884051801</v>
      </c>
      <c r="BL72" s="5">
        <v>4.0155840080694997E-2</v>
      </c>
      <c r="BM72" s="5">
        <v>-7.4925524185140605E-2</v>
      </c>
      <c r="BN72" s="5">
        <v>-0.113048536060481</v>
      </c>
      <c r="BO72" s="5">
        <v>0.23455127976346099</v>
      </c>
      <c r="BP72" s="5">
        <v>-0.188623464710727</v>
      </c>
      <c r="BQ72" s="5">
        <v>0.35944210584157799</v>
      </c>
      <c r="BR72" s="5">
        <v>0.74009048341616102</v>
      </c>
      <c r="BS72" s="5">
        <v>-0.42656943698243799</v>
      </c>
      <c r="BT72" s="5">
        <v>1</v>
      </c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</row>
    <row r="73" spans="1:389" x14ac:dyDescent="0.45">
      <c r="A73" s="4" t="str">
        <f ca="1">"CMR / beta2dist in "&amp;CELL("address",'damages-1990'!$K$37)</f>
        <v>CMR / beta2dist in '[BHM betas v3pd.xlsx]damages-1990'!$K$37</v>
      </c>
      <c r="B73" s="6">
        <v>-0.148372579110465</v>
      </c>
      <c r="C73" s="5">
        <v>0.22207411778261699</v>
      </c>
      <c r="D73" s="5">
        <v>-0.35329574333303299</v>
      </c>
      <c r="E73" s="5">
        <v>0.55266583090549903</v>
      </c>
      <c r="F73" s="5">
        <v>-5.1355313753540799E-2</v>
      </c>
      <c r="G73" s="5">
        <v>6.2356034475030603E-2</v>
      </c>
      <c r="H73" s="5">
        <v>5.6261874812865001E-2</v>
      </c>
      <c r="I73" s="5">
        <v>-0.117133014374637</v>
      </c>
      <c r="J73" s="5">
        <v>-0.36874116102389898</v>
      </c>
      <c r="K73" s="5">
        <v>0.51581357458341703</v>
      </c>
      <c r="L73" s="5">
        <v>-0.123332451985111</v>
      </c>
      <c r="M73" s="5">
        <v>0.147737734933373</v>
      </c>
      <c r="N73" s="5">
        <v>6.7080831809159705E-2</v>
      </c>
      <c r="O73" s="5">
        <v>-9.1213442354073901E-2</v>
      </c>
      <c r="P73" s="5">
        <v>-0.44127922514571499</v>
      </c>
      <c r="Q73" s="5">
        <v>0.56348140547504599</v>
      </c>
      <c r="R73" s="5">
        <v>-0.29367897828272299</v>
      </c>
      <c r="S73" s="5">
        <v>0.49521482866635702</v>
      </c>
      <c r="T73" s="5">
        <v>-0.15635565771964399</v>
      </c>
      <c r="U73" s="5">
        <v>0.16852598244157799</v>
      </c>
      <c r="V73" s="5">
        <v>2.0239073276832099E-2</v>
      </c>
      <c r="W73" s="5">
        <v>-9.9763022041819097E-2</v>
      </c>
      <c r="X73" s="5">
        <v>-0.36102822831183501</v>
      </c>
      <c r="Y73" s="5">
        <v>0.521461909244334</v>
      </c>
      <c r="Z73" s="5">
        <v>-9.0596113116098706E-2</v>
      </c>
      <c r="AA73" s="5">
        <v>0.104650707526859</v>
      </c>
      <c r="AB73" s="5">
        <v>-0.53471987240736096</v>
      </c>
      <c r="AC73" s="5">
        <v>0.77035609369949898</v>
      </c>
      <c r="AD73" s="5">
        <v>-0.58872378762667799</v>
      </c>
      <c r="AE73" s="5">
        <v>0.77436279643989803</v>
      </c>
      <c r="AF73" s="5">
        <v>-0.16063352295794101</v>
      </c>
      <c r="AG73" s="5">
        <v>0.32433970999399098</v>
      </c>
      <c r="AH73" s="5">
        <v>-4.4827043752531603E-2</v>
      </c>
      <c r="AI73" s="5">
        <v>5.8399738166055898E-2</v>
      </c>
      <c r="AJ73" s="5">
        <v>-0.37063122740284499</v>
      </c>
      <c r="AK73" s="5">
        <v>0.48338527081201299</v>
      </c>
      <c r="AL73" s="5">
        <v>7.6266093208295402E-2</v>
      </c>
      <c r="AM73" s="5">
        <v>-2.9889299321792E-2</v>
      </c>
      <c r="AN73" s="5">
        <v>-8.9982281756353796E-2</v>
      </c>
      <c r="AO73" s="5">
        <v>0.106506605189308</v>
      </c>
      <c r="AP73" s="5">
        <v>-0.13572899183163301</v>
      </c>
      <c r="AQ73" s="5">
        <v>0.163674779648426</v>
      </c>
      <c r="AR73" s="5">
        <v>-0.26666204292975298</v>
      </c>
      <c r="AS73" s="5">
        <v>0.426304441215765</v>
      </c>
      <c r="AT73" s="5">
        <v>0.184560982535242</v>
      </c>
      <c r="AU73" s="5">
        <v>-0.18456619201708099</v>
      </c>
      <c r="AV73" s="5">
        <v>-0.28745922633100701</v>
      </c>
      <c r="AW73" s="5">
        <v>0.57400931575536895</v>
      </c>
      <c r="AX73" s="5">
        <v>-0.38550586055893699</v>
      </c>
      <c r="AY73" s="5">
        <v>0.68094655544833405</v>
      </c>
      <c r="AZ73" s="5">
        <v>-0.495614103379375</v>
      </c>
      <c r="BA73" s="5">
        <v>0.61465592050568096</v>
      </c>
      <c r="BB73" s="5">
        <v>-0.34605592506282001</v>
      </c>
      <c r="BC73" s="5">
        <v>0.54573574661691504</v>
      </c>
      <c r="BD73" s="5">
        <v>-6.7681992491693502E-2</v>
      </c>
      <c r="BE73" s="5">
        <v>0.10091669528758899</v>
      </c>
      <c r="BF73" s="5">
        <v>-0.317871933258706</v>
      </c>
      <c r="BG73" s="5">
        <v>0.455611169032833</v>
      </c>
      <c r="BH73" s="5">
        <v>-0.53534340920295398</v>
      </c>
      <c r="BI73" s="5">
        <v>0.78919259776998796</v>
      </c>
      <c r="BJ73" s="5">
        <v>3.8154919375182998E-2</v>
      </c>
      <c r="BK73" s="5">
        <v>-0.226705372676346</v>
      </c>
      <c r="BL73" s="5">
        <v>-0.192494607197957</v>
      </c>
      <c r="BM73" s="5">
        <v>0.18775266488127601</v>
      </c>
      <c r="BN73" s="5">
        <v>6.3112960380025798E-2</v>
      </c>
      <c r="BO73" s="5">
        <v>-0.144615101526548</v>
      </c>
      <c r="BP73" s="5">
        <v>0.118705053080531</v>
      </c>
      <c r="BQ73" s="5">
        <v>-0.28382368607747699</v>
      </c>
      <c r="BR73" s="5">
        <v>-0.62793515775862596</v>
      </c>
      <c r="BS73" s="5">
        <v>0.82494848264926202</v>
      </c>
      <c r="BT73" s="5">
        <v>-0.68653745738997696</v>
      </c>
      <c r="BU73" s="5">
        <v>1</v>
      </c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</row>
    <row r="74" spans="1:389" x14ac:dyDescent="0.45">
      <c r="A74" s="4" t="str">
        <f ca="1">"COD / beta1dist in "&amp;CELL("address",'damages-1990'!$J$38)</f>
        <v>COD / beta1dist in '[BHM betas v3pd.xlsx]damages-1990'!$J$38</v>
      </c>
      <c r="B74" s="6">
        <v>0.25293558655984</v>
      </c>
      <c r="C74" s="5">
        <v>0.131938285263862</v>
      </c>
      <c r="D74" s="5">
        <v>0.74149561162058397</v>
      </c>
      <c r="E74" s="5">
        <v>-0.41376089241410402</v>
      </c>
      <c r="F74" s="5">
        <v>0.22253875911231</v>
      </c>
      <c r="G74" s="5">
        <v>-1.1959039074266101E-3</v>
      </c>
      <c r="H74" s="5">
        <v>-6.6527701751261201E-2</v>
      </c>
      <c r="I74" s="5">
        <v>3.19171294605382E-2</v>
      </c>
      <c r="J74" s="5">
        <v>0.61865694003763405</v>
      </c>
      <c r="K74" s="5">
        <v>-0.30299630678405698</v>
      </c>
      <c r="L74" s="5">
        <v>0.43347993725944201</v>
      </c>
      <c r="M74" s="5">
        <v>-8.1991323830399004E-2</v>
      </c>
      <c r="N74" s="5">
        <v>-3.6442759634459497E-2</v>
      </c>
      <c r="O74" s="5">
        <v>5.7831057052161398E-2</v>
      </c>
      <c r="P74" s="5">
        <v>0.32092190422486699</v>
      </c>
      <c r="Q74" s="5">
        <v>-0.128536608829668</v>
      </c>
      <c r="R74" s="5">
        <v>0.62668965414214495</v>
      </c>
      <c r="S74" s="5">
        <v>-0.34592548394969203</v>
      </c>
      <c r="T74" s="5">
        <v>3.4793506843611897E-2</v>
      </c>
      <c r="U74" s="5">
        <v>-5.1120935766189098E-2</v>
      </c>
      <c r="V74" s="5">
        <v>0.20186019175432901</v>
      </c>
      <c r="W74" s="5">
        <v>0.22514145414289499</v>
      </c>
      <c r="X74" s="5">
        <v>0.77215511233845802</v>
      </c>
      <c r="Y74" s="5">
        <v>-0.46884589851421898</v>
      </c>
      <c r="Z74" s="5">
        <v>9.0541066469194395E-2</v>
      </c>
      <c r="AA74" s="5">
        <v>-9.4648533801641992E-3</v>
      </c>
      <c r="AB74" s="5">
        <v>0.66576639770539503</v>
      </c>
      <c r="AC74" s="5">
        <v>-0.38231403821580201</v>
      </c>
      <c r="AD74" s="5">
        <v>0.58576440592013701</v>
      </c>
      <c r="AE74" s="5">
        <v>-0.263863688247373</v>
      </c>
      <c r="AF74" s="5">
        <v>0.24970439411031201</v>
      </c>
      <c r="AG74" s="5">
        <v>2.6689908570707601E-2</v>
      </c>
      <c r="AH74" s="5">
        <v>0.19016636436328399</v>
      </c>
      <c r="AI74" s="5">
        <v>-1.51475024820505E-2</v>
      </c>
      <c r="AJ74" s="5">
        <v>0.55486753533510402</v>
      </c>
      <c r="AK74" s="5">
        <v>-0.24584765767164099</v>
      </c>
      <c r="AL74" s="5">
        <v>0.42272260392453698</v>
      </c>
      <c r="AM74" s="5">
        <v>-0.26057349505088701</v>
      </c>
      <c r="AN74" s="5">
        <v>0.118935816991382</v>
      </c>
      <c r="AO74" s="5">
        <v>-2.29131786301346E-2</v>
      </c>
      <c r="AP74" s="5">
        <v>6.1143750450130298E-4</v>
      </c>
      <c r="AQ74" s="5">
        <v>-7.4730962323337497E-3</v>
      </c>
      <c r="AR74" s="5">
        <v>0.50686482640283603</v>
      </c>
      <c r="AS74" s="5">
        <v>-0.25813432577013801</v>
      </c>
      <c r="AT74" s="5">
        <v>0.16851763153771501</v>
      </c>
      <c r="AU74" s="5">
        <v>7.7280503017611593E-2</v>
      </c>
      <c r="AV74" s="5">
        <v>0.56471881288180603</v>
      </c>
      <c r="AW74" s="5">
        <v>-0.26207852082823502</v>
      </c>
      <c r="AX74" s="5">
        <v>0.67866524624116598</v>
      </c>
      <c r="AY74" s="5">
        <v>-0.440639022343427</v>
      </c>
      <c r="AZ74" s="5">
        <v>0.34419647545294502</v>
      </c>
      <c r="BA74" s="5">
        <v>-0.153308294097419</v>
      </c>
      <c r="BB74" s="5">
        <v>0.66845745963950998</v>
      </c>
      <c r="BC74" s="5">
        <v>-0.32752146943771698</v>
      </c>
      <c r="BD74" s="5">
        <v>0.113888562297803</v>
      </c>
      <c r="BE74" s="5">
        <v>0.23682370346176901</v>
      </c>
      <c r="BF74" s="5">
        <v>0.50959437191062396</v>
      </c>
      <c r="BG74" s="5">
        <v>-0.220937109493063</v>
      </c>
      <c r="BH74" s="5">
        <v>0.76236183024529602</v>
      </c>
      <c r="BI74" s="5">
        <v>-0.449855345964356</v>
      </c>
      <c r="BJ74" s="5">
        <v>-0.29896039668751001</v>
      </c>
      <c r="BK74" s="5">
        <v>0.25534681265414499</v>
      </c>
      <c r="BL74" s="5">
        <v>5.2617331134007898E-2</v>
      </c>
      <c r="BM74" s="5">
        <v>-9.8337427948793105E-2</v>
      </c>
      <c r="BN74" s="5">
        <v>-0.10725296928169401</v>
      </c>
      <c r="BO74" s="5">
        <v>0.240141541937273</v>
      </c>
      <c r="BP74" s="5">
        <v>-0.114105235627316</v>
      </c>
      <c r="BQ74" s="5">
        <v>0.26309923852133699</v>
      </c>
      <c r="BR74" s="5">
        <v>0.672389479165172</v>
      </c>
      <c r="BS74" s="5">
        <v>-0.39011713863907799</v>
      </c>
      <c r="BT74" s="5">
        <v>0.73457086384583803</v>
      </c>
      <c r="BU74" s="5">
        <v>-0.45286818759130298</v>
      </c>
      <c r="BV74" s="5">
        <v>1</v>
      </c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</row>
    <row r="75" spans="1:389" x14ac:dyDescent="0.45">
      <c r="A75" s="4" t="str">
        <f ca="1">"COD / beta2dist in "&amp;CELL("address",'damages-1990'!$K$38)</f>
        <v>COD / beta2dist in '[BHM betas v3pd.xlsx]damages-1990'!$K$38</v>
      </c>
      <c r="B75" s="6">
        <v>-0.112515850424876</v>
      </c>
      <c r="C75" s="5">
        <v>0.189211990159006</v>
      </c>
      <c r="D75" s="5">
        <v>-0.44148357137483502</v>
      </c>
      <c r="E75" s="5">
        <v>0.70025267620892395</v>
      </c>
      <c r="F75" s="5">
        <v>-0.11858988930243999</v>
      </c>
      <c r="G75" s="5">
        <v>0.17732943391334199</v>
      </c>
      <c r="H75" s="5">
        <v>-1.7902816915626198E-2</v>
      </c>
      <c r="I75" s="5">
        <v>-4.20973146805389E-2</v>
      </c>
      <c r="J75" s="5">
        <v>-0.311092590305864</v>
      </c>
      <c r="K75" s="5">
        <v>0.50799402197869203</v>
      </c>
      <c r="L75" s="5">
        <v>-0.107440743116928</v>
      </c>
      <c r="M75" s="5">
        <v>0.16882585278759701</v>
      </c>
      <c r="N75" s="5">
        <v>-3.6820382720274401E-2</v>
      </c>
      <c r="O75" s="5">
        <v>1.21275590825784E-2</v>
      </c>
      <c r="P75" s="5">
        <v>-0.30972524343411201</v>
      </c>
      <c r="Q75" s="5">
        <v>0.42442181107545401</v>
      </c>
      <c r="R75" s="5">
        <v>-0.27009088298827599</v>
      </c>
      <c r="S75" s="5">
        <v>0.53148389353515102</v>
      </c>
      <c r="T75" s="5">
        <v>-0.17254351646235</v>
      </c>
      <c r="U75" s="5">
        <v>0.18701239974455799</v>
      </c>
      <c r="V75" s="5">
        <v>8.0282378226970708E-3</v>
      </c>
      <c r="W75" s="5">
        <v>-5.6078088060537497E-2</v>
      </c>
      <c r="X75" s="5">
        <v>-0.51797218456670002</v>
      </c>
      <c r="Y75" s="5">
        <v>0.75778526110170297</v>
      </c>
      <c r="Z75" s="5">
        <v>-0.10672753673919801</v>
      </c>
      <c r="AA75" s="5">
        <v>0.131474135826638</v>
      </c>
      <c r="AB75" s="5">
        <v>-0.38587090366678201</v>
      </c>
      <c r="AC75" s="5">
        <v>0.59314594879414395</v>
      </c>
      <c r="AD75" s="5">
        <v>-0.36137124430857298</v>
      </c>
      <c r="AE75" s="5">
        <v>0.53896738871508898</v>
      </c>
      <c r="AF75" s="5">
        <v>1.9746246497483001E-2</v>
      </c>
      <c r="AG75" s="5">
        <v>0.14831303480703101</v>
      </c>
      <c r="AH75" s="5">
        <v>-0.13054696832276899</v>
      </c>
      <c r="AI75" s="5">
        <v>0.180241653589543</v>
      </c>
      <c r="AJ75" s="5">
        <v>-0.323833255290226</v>
      </c>
      <c r="AK75" s="5">
        <v>0.47812115773239</v>
      </c>
      <c r="AL75" s="5">
        <v>-3.50165591174941E-2</v>
      </c>
      <c r="AM75" s="5">
        <v>0.12559458456362299</v>
      </c>
      <c r="AN75" s="5">
        <v>-0.18672886719356699</v>
      </c>
      <c r="AO75" s="5">
        <v>0.225121296478627</v>
      </c>
      <c r="AP75" s="5">
        <v>-0.18998923884052099</v>
      </c>
      <c r="AQ75" s="5">
        <v>0.227133697496642</v>
      </c>
      <c r="AR75" s="5">
        <v>-0.18480806829514501</v>
      </c>
      <c r="AS75" s="5">
        <v>0.35472334687998303</v>
      </c>
      <c r="AT75" s="5">
        <v>0.19814130581186701</v>
      </c>
      <c r="AU75" s="5">
        <v>-0.219068045113953</v>
      </c>
      <c r="AV75" s="5">
        <v>-0.14782737925348399</v>
      </c>
      <c r="AW75" s="5">
        <v>0.39642704623758401</v>
      </c>
      <c r="AX75" s="5">
        <v>-0.31198951758223198</v>
      </c>
      <c r="AY75" s="5">
        <v>0.63794482136811304</v>
      </c>
      <c r="AZ75" s="5">
        <v>-0.29003539128978201</v>
      </c>
      <c r="BA75" s="5">
        <v>0.40476334447684198</v>
      </c>
      <c r="BB75" s="5">
        <v>-0.30265804035416899</v>
      </c>
      <c r="BC75" s="5">
        <v>0.52544136725752</v>
      </c>
      <c r="BD75" s="5">
        <v>-7.3332588841670598E-2</v>
      </c>
      <c r="BE75" s="5">
        <v>0.119772497291843</v>
      </c>
      <c r="BF75" s="5">
        <v>-0.219248417768037</v>
      </c>
      <c r="BG75" s="5">
        <v>0.37393550782778801</v>
      </c>
      <c r="BH75" s="5">
        <v>-0.44882039509800198</v>
      </c>
      <c r="BI75" s="5">
        <v>0.71748113104060396</v>
      </c>
      <c r="BJ75" s="5">
        <v>3.5298990908434798E-3</v>
      </c>
      <c r="BK75" s="5">
        <v>-0.20564652257284799</v>
      </c>
      <c r="BL75" s="5">
        <v>-0.20917571193828799</v>
      </c>
      <c r="BM75" s="5">
        <v>0.211755323568006</v>
      </c>
      <c r="BN75" s="5">
        <v>3.9664935146810201E-2</v>
      </c>
      <c r="BO75" s="5">
        <v>-0.13924451731543799</v>
      </c>
      <c r="BP75" s="5">
        <v>1.3611037461866499E-2</v>
      </c>
      <c r="BQ75" s="5">
        <v>-0.153609340331924</v>
      </c>
      <c r="BR75" s="5">
        <v>-0.51411311016819705</v>
      </c>
      <c r="BS75" s="5">
        <v>0.72486045278185596</v>
      </c>
      <c r="BT75" s="5">
        <v>-0.368229131321821</v>
      </c>
      <c r="BU75" s="5">
        <v>0.68598961073044795</v>
      </c>
      <c r="BV75" s="5">
        <v>-0.70494966272036796</v>
      </c>
      <c r="BW75" s="5">
        <v>1</v>
      </c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</row>
    <row r="76" spans="1:389" x14ac:dyDescent="0.45">
      <c r="A76" s="4" t="str">
        <f ca="1">"COG / beta1dist in "&amp;CELL("address",'damages-1990'!$J$39)</f>
        <v>COG / beta1dist in '[BHM betas v3pd.xlsx]damages-1990'!$J$39</v>
      </c>
      <c r="B76" s="6">
        <v>0.23499366363051999</v>
      </c>
      <c r="C76" s="5">
        <v>0.11298716043284</v>
      </c>
      <c r="D76" s="5">
        <v>0.67337455739055796</v>
      </c>
      <c r="E76" s="5">
        <v>-0.34725963923771302</v>
      </c>
      <c r="F76" s="5">
        <v>0.186370901935897</v>
      </c>
      <c r="G76" s="5">
        <v>1.02425113123618E-3</v>
      </c>
      <c r="H76" s="5">
        <v>-1.7818662297303198E-2</v>
      </c>
      <c r="I76" s="5">
        <v>-1.59954042385245E-2</v>
      </c>
      <c r="J76" s="5">
        <v>0.55637120876967505</v>
      </c>
      <c r="K76" s="5">
        <v>-0.25671889222948402</v>
      </c>
      <c r="L76" s="5">
        <v>0.42626372080902902</v>
      </c>
      <c r="M76" s="5">
        <v>-0.113196376439011</v>
      </c>
      <c r="N76" s="5">
        <v>-7.0708671581154195E-2</v>
      </c>
      <c r="O76" s="5">
        <v>8.6257386206729597E-2</v>
      </c>
      <c r="P76" s="5">
        <v>0.254288647629618</v>
      </c>
      <c r="Q76" s="5">
        <v>-7.8880360474608405E-2</v>
      </c>
      <c r="R76" s="5">
        <v>0.65197450938994095</v>
      </c>
      <c r="S76" s="5">
        <v>-0.40189917016648402</v>
      </c>
      <c r="T76" s="5">
        <v>3.9793279846113598E-3</v>
      </c>
      <c r="U76" s="5">
        <v>-2.1682129983417502E-2</v>
      </c>
      <c r="V76" s="5">
        <v>0.15591602195246901</v>
      </c>
      <c r="W76" s="5">
        <v>0.23854867272208</v>
      </c>
      <c r="X76" s="5">
        <v>0.69670306867738296</v>
      </c>
      <c r="Y76" s="5">
        <v>-0.39290123090660101</v>
      </c>
      <c r="Z76" s="5">
        <v>9.7105079744813E-2</v>
      </c>
      <c r="AA76" s="5">
        <v>-4.1267651369316503E-2</v>
      </c>
      <c r="AB76" s="5">
        <v>0.69742131851449496</v>
      </c>
      <c r="AC76" s="5">
        <v>-0.40413958127064897</v>
      </c>
      <c r="AD76" s="5">
        <v>0.55448270238399799</v>
      </c>
      <c r="AE76" s="5">
        <v>-0.21936691651343099</v>
      </c>
      <c r="AF76" s="5">
        <v>0.16305132333904299</v>
      </c>
      <c r="AG76" s="5">
        <v>9.8530330677373698E-2</v>
      </c>
      <c r="AH76" s="5">
        <v>0.13151161209071599</v>
      </c>
      <c r="AI76" s="5">
        <v>1.8697057047475998E-2</v>
      </c>
      <c r="AJ76" s="5">
        <v>0.47022677781305999</v>
      </c>
      <c r="AK76" s="5">
        <v>-0.190240464674514</v>
      </c>
      <c r="AL76" s="5">
        <v>0.391789857918724</v>
      </c>
      <c r="AM76" s="5">
        <v>-0.24186929639010499</v>
      </c>
      <c r="AN76" s="5">
        <v>6.2823892597424394E-2</v>
      </c>
      <c r="AO76" s="5">
        <v>2.37675848204283E-2</v>
      </c>
      <c r="AP76" s="5">
        <v>2.9134675317366399E-2</v>
      </c>
      <c r="AQ76" s="5">
        <v>-5.17781956775537E-2</v>
      </c>
      <c r="AR76" s="5">
        <v>0.46510953863203602</v>
      </c>
      <c r="AS76" s="5">
        <v>-0.24185220450980499</v>
      </c>
      <c r="AT76" s="5">
        <v>0.212790822298044</v>
      </c>
      <c r="AU76" s="5">
        <v>9.4030835550041308E-3</v>
      </c>
      <c r="AV76" s="5">
        <v>0.54381223677746404</v>
      </c>
      <c r="AW76" s="5">
        <v>-0.27235231284321698</v>
      </c>
      <c r="AX76" s="5">
        <v>0.61634272381844202</v>
      </c>
      <c r="AY76" s="5">
        <v>-0.3848448016248</v>
      </c>
      <c r="AZ76" s="5">
        <v>0.260956779408202</v>
      </c>
      <c r="BA76" s="5">
        <v>-9.3285456078713094E-2</v>
      </c>
      <c r="BB76" s="5">
        <v>0.67169319843821396</v>
      </c>
      <c r="BC76" s="5">
        <v>-0.33483772117664201</v>
      </c>
      <c r="BD76" s="5">
        <v>0.10744368818040601</v>
      </c>
      <c r="BE76" s="5">
        <v>0.207847358239442</v>
      </c>
      <c r="BF76" s="5">
        <v>0.50328404050555897</v>
      </c>
      <c r="BG76" s="5">
        <v>-0.25456311467103598</v>
      </c>
      <c r="BH76" s="5">
        <v>0.72571157027209299</v>
      </c>
      <c r="BI76" s="5">
        <v>-0.41566687770385102</v>
      </c>
      <c r="BJ76" s="5">
        <v>-0.27913039261932698</v>
      </c>
      <c r="BK76" s="5">
        <v>0.23724890682108499</v>
      </c>
      <c r="BL76" s="5">
        <v>2.7444466673008198E-2</v>
      </c>
      <c r="BM76" s="5">
        <v>-6.9869770036136605E-2</v>
      </c>
      <c r="BN76" s="5">
        <v>-0.20170593931563299</v>
      </c>
      <c r="BO76" s="5">
        <v>0.34517017653475801</v>
      </c>
      <c r="BP76" s="5">
        <v>-0.109279374612157</v>
      </c>
      <c r="BQ76" s="5">
        <v>0.238135900908373</v>
      </c>
      <c r="BR76" s="5">
        <v>0.66456722087951503</v>
      </c>
      <c r="BS76" s="5">
        <v>-0.35571211346610998</v>
      </c>
      <c r="BT76" s="5">
        <v>0.70495521327598099</v>
      </c>
      <c r="BU76" s="5">
        <v>-0.42688158395791398</v>
      </c>
      <c r="BV76" s="5">
        <v>0.80651582637363595</v>
      </c>
      <c r="BW76" s="5">
        <v>-0.50027956448645605</v>
      </c>
      <c r="BX76" s="5">
        <v>1</v>
      </c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</row>
    <row r="77" spans="1:389" x14ac:dyDescent="0.45">
      <c r="A77" s="4" t="str">
        <f ca="1">"COG / beta2dist in "&amp;CELL("address",'damages-1990'!$K$39)</f>
        <v>COG / beta2dist in '[BHM betas v3pd.xlsx]damages-1990'!$K$39</v>
      </c>
      <c r="B77" s="6">
        <v>-0.121857751583495</v>
      </c>
      <c r="C77" s="5">
        <v>0.18031269985581599</v>
      </c>
      <c r="D77" s="5">
        <v>-0.421406195060745</v>
      </c>
      <c r="E77" s="5">
        <v>0.63301929506277599</v>
      </c>
      <c r="F77" s="5">
        <v>-8.5879122437085897E-2</v>
      </c>
      <c r="G77" s="5">
        <v>0.13396102188700401</v>
      </c>
      <c r="H77" s="5">
        <v>-4.2226665265588499E-2</v>
      </c>
      <c r="I77" s="5">
        <v>-1.3044058186657E-2</v>
      </c>
      <c r="J77" s="5">
        <v>-0.28508003548995298</v>
      </c>
      <c r="K77" s="5">
        <v>0.44275343035346798</v>
      </c>
      <c r="L77" s="5">
        <v>-0.146296193360898</v>
      </c>
      <c r="M77" s="5">
        <v>0.197662330239496</v>
      </c>
      <c r="N77" s="5">
        <v>8.4854884076642802E-4</v>
      </c>
      <c r="O77" s="5">
        <v>-2.1693073563877199E-2</v>
      </c>
      <c r="P77" s="5">
        <v>-0.26523479370644498</v>
      </c>
      <c r="Q77" s="5">
        <v>0.37546090537995203</v>
      </c>
      <c r="R77" s="5">
        <v>-0.35043363700186198</v>
      </c>
      <c r="S77" s="5">
        <v>0.59263971066676002</v>
      </c>
      <c r="T77" s="5">
        <v>-0.116774607901957</v>
      </c>
      <c r="U77" s="5">
        <v>0.12844842755010399</v>
      </c>
      <c r="V77" s="5">
        <v>2.7467634159458101E-2</v>
      </c>
      <c r="W77" s="5">
        <v>-9.5521658737130297E-2</v>
      </c>
      <c r="X77" s="5">
        <v>-0.48547870292421003</v>
      </c>
      <c r="Y77" s="5">
        <v>0.67254870331355299</v>
      </c>
      <c r="Z77" s="5">
        <v>-0.108485557500554</v>
      </c>
      <c r="AA77" s="5">
        <v>0.14128209923438201</v>
      </c>
      <c r="AB77" s="5">
        <v>-0.47120552585472403</v>
      </c>
      <c r="AC77" s="5">
        <v>0.64070061809981504</v>
      </c>
      <c r="AD77" s="5">
        <v>-0.36806315480149299</v>
      </c>
      <c r="AE77" s="5">
        <v>0.50273650773979595</v>
      </c>
      <c r="AF77" s="5">
        <v>3.4236873892394402E-2</v>
      </c>
      <c r="AG77" s="5">
        <v>0.110308193026184</v>
      </c>
      <c r="AH77" s="5">
        <v>-6.7136829791451594E-2</v>
      </c>
      <c r="AI77" s="5">
        <v>0.104697388285611</v>
      </c>
      <c r="AJ77" s="5">
        <v>-0.285009533010188</v>
      </c>
      <c r="AK77" s="5">
        <v>0.41352473097827902</v>
      </c>
      <c r="AL77" s="5">
        <v>-5.0460436045457302E-2</v>
      </c>
      <c r="AM77" s="5">
        <v>0.126732941238765</v>
      </c>
      <c r="AN77" s="5">
        <v>-0.115270931043202</v>
      </c>
      <c r="AO77" s="5">
        <v>0.14073605560465099</v>
      </c>
      <c r="AP77" s="5">
        <v>-0.19659122433888801</v>
      </c>
      <c r="AQ77" s="5">
        <v>0.24826741207787101</v>
      </c>
      <c r="AR77" s="5">
        <v>-0.21456474558604199</v>
      </c>
      <c r="AS77" s="5">
        <v>0.38154843301535701</v>
      </c>
      <c r="AT77" s="5">
        <v>0.109782664284193</v>
      </c>
      <c r="AU77" s="5">
        <v>-0.13451534091494199</v>
      </c>
      <c r="AV77" s="5">
        <v>-0.20902175750361601</v>
      </c>
      <c r="AW77" s="5">
        <v>0.45214246528093499</v>
      </c>
      <c r="AX77" s="5">
        <v>-0.32497925556262702</v>
      </c>
      <c r="AY77" s="5">
        <v>0.617389899617662</v>
      </c>
      <c r="AZ77" s="5">
        <v>-0.237487712964255</v>
      </c>
      <c r="BA77" s="5">
        <v>0.35462753746694498</v>
      </c>
      <c r="BB77" s="5">
        <v>-0.34668733321907402</v>
      </c>
      <c r="BC77" s="5">
        <v>0.52322151568410502</v>
      </c>
      <c r="BD77" s="5">
        <v>-7.0876456534845006E-2</v>
      </c>
      <c r="BE77" s="5">
        <v>9.9425116778382699E-2</v>
      </c>
      <c r="BF77" s="5">
        <v>-0.26378533631986101</v>
      </c>
      <c r="BG77" s="5">
        <v>0.41835273109507798</v>
      </c>
      <c r="BH77" s="5">
        <v>-0.47142741916062503</v>
      </c>
      <c r="BI77" s="5">
        <v>0.70262224350717295</v>
      </c>
      <c r="BJ77" s="5">
        <v>2.1850197315433299E-2</v>
      </c>
      <c r="BK77" s="5">
        <v>-0.20244588799228</v>
      </c>
      <c r="BL77" s="5">
        <v>-0.16138691926731299</v>
      </c>
      <c r="BM77" s="5">
        <v>0.16173708407652301</v>
      </c>
      <c r="BN77" s="5">
        <v>0.14237834522131701</v>
      </c>
      <c r="BO77" s="5">
        <v>-0.26630539197439301</v>
      </c>
      <c r="BP77" s="5">
        <v>3.9470967690080398E-2</v>
      </c>
      <c r="BQ77" s="5">
        <v>-0.18057756058864699</v>
      </c>
      <c r="BR77" s="5">
        <v>-0.53617651777131703</v>
      </c>
      <c r="BS77" s="5">
        <v>0.69158128651903605</v>
      </c>
      <c r="BT77" s="5">
        <v>-0.40404160363046099</v>
      </c>
      <c r="BU77" s="5">
        <v>0.68434408877895903</v>
      </c>
      <c r="BV77" s="5">
        <v>-0.55287204529105904</v>
      </c>
      <c r="BW77" s="5">
        <v>0.79094138168450701</v>
      </c>
      <c r="BX77" s="5">
        <v>-0.74440387454874501</v>
      </c>
      <c r="BY77" s="5">
        <v>1</v>
      </c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</row>
    <row r="78" spans="1:389" x14ac:dyDescent="0.45">
      <c r="A78" s="4" t="str">
        <f ca="1">"COL / beta1dist in "&amp;CELL("address",'damages-1990'!$J$40)</f>
        <v>COL / beta1dist in '[BHM betas v3pd.xlsx]damages-1990'!$J$40</v>
      </c>
      <c r="B78" s="6">
        <v>0.180401966834906</v>
      </c>
      <c r="C78" s="5">
        <v>0.19858434726423499</v>
      </c>
      <c r="D78" s="5">
        <v>0.66727624719527101</v>
      </c>
      <c r="E78" s="5">
        <v>-0.36447352728675703</v>
      </c>
      <c r="F78" s="5">
        <v>0.16529070046942601</v>
      </c>
      <c r="G78" s="5">
        <v>5.0978340052708002E-2</v>
      </c>
      <c r="H78" s="5">
        <v>-0.18485937836774499</v>
      </c>
      <c r="I78" s="5">
        <v>0.14313503034129599</v>
      </c>
      <c r="J78" s="5">
        <v>0.58890497080481596</v>
      </c>
      <c r="K78" s="5">
        <v>-0.26399693093006399</v>
      </c>
      <c r="L78" s="5">
        <v>0.41132111399390198</v>
      </c>
      <c r="M78" s="5">
        <v>-9.7232320873294503E-2</v>
      </c>
      <c r="N78" s="5">
        <v>-1.9876666785135E-2</v>
      </c>
      <c r="O78" s="5">
        <v>1.84800780990424E-2</v>
      </c>
      <c r="P78" s="5">
        <v>0.34175039885156</v>
      </c>
      <c r="Q78" s="5">
        <v>-0.16526373672439501</v>
      </c>
      <c r="R78" s="5">
        <v>0.63567437143067596</v>
      </c>
      <c r="S78" s="5">
        <v>-0.36145000795750598</v>
      </c>
      <c r="T78" s="5">
        <v>-7.4912856542495104E-2</v>
      </c>
      <c r="U78" s="5">
        <v>5.5165047644305999E-2</v>
      </c>
      <c r="V78" s="5">
        <v>0.15175079534571301</v>
      </c>
      <c r="W78" s="5">
        <v>0.258297928357485</v>
      </c>
      <c r="X78" s="5">
        <v>0.67512610343796597</v>
      </c>
      <c r="Y78" s="5">
        <v>-0.374534826717489</v>
      </c>
      <c r="Z78" s="5">
        <v>-9.1198517782753695E-3</v>
      </c>
      <c r="AA78" s="5">
        <v>7.8134361539360001E-2</v>
      </c>
      <c r="AB78" s="5">
        <v>0.62540944696536105</v>
      </c>
      <c r="AC78" s="5">
        <v>-0.38816342488287098</v>
      </c>
      <c r="AD78" s="5">
        <v>0.50406594605786703</v>
      </c>
      <c r="AE78" s="5">
        <v>-0.226041992443657</v>
      </c>
      <c r="AF78" s="5">
        <v>0.36606089406606801</v>
      </c>
      <c r="AG78" s="5">
        <v>-9.5885792136797501E-2</v>
      </c>
      <c r="AH78" s="5">
        <v>0.10933378274981199</v>
      </c>
      <c r="AI78" s="5">
        <v>6.2062009730269603E-2</v>
      </c>
      <c r="AJ78" s="5">
        <v>0.52993562113776405</v>
      </c>
      <c r="AK78" s="5">
        <v>-0.19066419728256501</v>
      </c>
      <c r="AL78" s="5">
        <v>0.43705523033279597</v>
      </c>
      <c r="AM78" s="5">
        <v>-0.25447524104654201</v>
      </c>
      <c r="AN78" s="5">
        <v>2.73941023720418E-2</v>
      </c>
      <c r="AO78" s="5">
        <v>6.1409094391225903E-2</v>
      </c>
      <c r="AP78" s="5">
        <v>-5.5738572795935901E-2</v>
      </c>
      <c r="AQ78" s="5">
        <v>3.3056815105500702E-2</v>
      </c>
      <c r="AR78" s="5">
        <v>0.56961893776477901</v>
      </c>
      <c r="AS78" s="5">
        <v>-0.33769398340101497</v>
      </c>
      <c r="AT78" s="5">
        <v>0.22135199957008</v>
      </c>
      <c r="AU78" s="5">
        <v>4.7808125774986297E-2</v>
      </c>
      <c r="AV78" s="5">
        <v>0.68489390547361895</v>
      </c>
      <c r="AW78" s="5">
        <v>-0.42339402539777898</v>
      </c>
      <c r="AX78" s="5">
        <v>0.74465496483912097</v>
      </c>
      <c r="AY78" s="5">
        <v>-0.51422528418145297</v>
      </c>
      <c r="AZ78" s="5">
        <v>0.38810132498877298</v>
      </c>
      <c r="BA78" s="5">
        <v>-0.230311655981143</v>
      </c>
      <c r="BB78" s="5">
        <v>0.66897356980257905</v>
      </c>
      <c r="BC78" s="5">
        <v>-0.34238705398998498</v>
      </c>
      <c r="BD78" s="5">
        <v>2.5096035062621699E-2</v>
      </c>
      <c r="BE78" s="5">
        <v>0.33308634172886997</v>
      </c>
      <c r="BF78" s="5">
        <v>0.45119837689812597</v>
      </c>
      <c r="BG78" s="5">
        <v>-0.16972505578671601</v>
      </c>
      <c r="BH78" s="5">
        <v>0.71508350299835799</v>
      </c>
      <c r="BI78" s="5">
        <v>-0.44883512588082403</v>
      </c>
      <c r="BJ78" s="5">
        <v>-0.41505466149254999</v>
      </c>
      <c r="BK78" s="5">
        <v>0.35993837083810398</v>
      </c>
      <c r="BL78" s="5">
        <v>-6.3420765679057994E-2</v>
      </c>
      <c r="BM78" s="5">
        <v>1.00527153113427E-2</v>
      </c>
      <c r="BN78" s="5">
        <v>-0.207090216980228</v>
      </c>
      <c r="BO78" s="5">
        <v>0.34367744246698001</v>
      </c>
      <c r="BP78" s="5">
        <v>-0.21117644091930499</v>
      </c>
      <c r="BQ78" s="5">
        <v>0.38384032526853501</v>
      </c>
      <c r="BR78" s="5">
        <v>0.63036904245797198</v>
      </c>
      <c r="BS78" s="5">
        <v>-0.38506549004471302</v>
      </c>
      <c r="BT78" s="5">
        <v>0.69813617574603204</v>
      </c>
      <c r="BU78" s="5">
        <v>-0.44809715607747802</v>
      </c>
      <c r="BV78" s="5">
        <v>0.77234708043233802</v>
      </c>
      <c r="BW78" s="5">
        <v>-0.49639404952124899</v>
      </c>
      <c r="BX78" s="5">
        <v>0.765606158419743</v>
      </c>
      <c r="BY78" s="5">
        <v>-0.54579154219636605</v>
      </c>
      <c r="BZ78" s="5">
        <v>1</v>
      </c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</row>
    <row r="79" spans="1:389" x14ac:dyDescent="0.45">
      <c r="A79" s="4" t="str">
        <f ca="1">"COL / beta2dist in "&amp;CELL("address",'damages-1990'!$K$40)</f>
        <v>COL / beta2dist in '[BHM betas v3pd.xlsx]damages-1990'!$K$40</v>
      </c>
      <c r="B79" s="6">
        <v>-7.2414275188415603E-2</v>
      </c>
      <c r="C79" s="5">
        <v>9.7299550386030803E-2</v>
      </c>
      <c r="D79" s="5">
        <v>-0.41536740152702201</v>
      </c>
      <c r="E79" s="5">
        <v>0.64549822973101401</v>
      </c>
      <c r="F79" s="5">
        <v>-9.1220652159684806E-2</v>
      </c>
      <c r="G79" s="5">
        <v>0.114582754152042</v>
      </c>
      <c r="H79" s="5">
        <v>6.10324917386669E-2</v>
      </c>
      <c r="I79" s="5">
        <v>-0.103561491937428</v>
      </c>
      <c r="J79" s="5">
        <v>-0.283633181750024</v>
      </c>
      <c r="K79" s="5">
        <v>0.41462887102269003</v>
      </c>
      <c r="L79" s="5">
        <v>-9.3507450392587094E-2</v>
      </c>
      <c r="M79" s="5">
        <v>0.124649149135478</v>
      </c>
      <c r="N79" s="5">
        <v>-9.76562933568009E-2</v>
      </c>
      <c r="O79" s="5">
        <v>9.5651832261801198E-2</v>
      </c>
      <c r="P79" s="5">
        <v>-0.39886838359339299</v>
      </c>
      <c r="Q79" s="5">
        <v>0.49436907921628298</v>
      </c>
      <c r="R79" s="5">
        <v>-0.321559974548424</v>
      </c>
      <c r="S79" s="5">
        <v>0.54489629879155599</v>
      </c>
      <c r="T79" s="5">
        <v>-0.10112332256100399</v>
      </c>
      <c r="U79" s="5">
        <v>0.118206298405298</v>
      </c>
      <c r="V79" s="5">
        <v>1.70749462815597E-2</v>
      </c>
      <c r="W79" s="5">
        <v>-9.2703356962328204E-2</v>
      </c>
      <c r="X79" s="5">
        <v>-0.46951683943330802</v>
      </c>
      <c r="Y79" s="5">
        <v>0.65380129698926404</v>
      </c>
      <c r="Z79" s="5">
        <v>-5.9160907113765801E-2</v>
      </c>
      <c r="AA79" s="5">
        <v>8.3572389525136306E-2</v>
      </c>
      <c r="AB79" s="5">
        <v>-0.40099606842479402</v>
      </c>
      <c r="AC79" s="5">
        <v>0.614064028437313</v>
      </c>
      <c r="AD79" s="5">
        <v>-0.32303772703107497</v>
      </c>
      <c r="AE79" s="5">
        <v>0.50351532712934399</v>
      </c>
      <c r="AF79" s="5">
        <v>-0.122729850904656</v>
      </c>
      <c r="AG79" s="5">
        <v>0.25129463883737202</v>
      </c>
      <c r="AH79" s="5">
        <v>-8.7081487155976398E-2</v>
      </c>
      <c r="AI79" s="5">
        <v>0.109158018137056</v>
      </c>
      <c r="AJ79" s="5">
        <v>-0.29316780481916699</v>
      </c>
      <c r="AK79" s="5">
        <v>0.36399027621563901</v>
      </c>
      <c r="AL79" s="5">
        <v>-7.4645756316235601E-2</v>
      </c>
      <c r="AM79" s="5">
        <v>0.115283917430275</v>
      </c>
      <c r="AN79" s="5">
        <v>-0.129695220503763</v>
      </c>
      <c r="AO79" s="5">
        <v>0.15757759256819201</v>
      </c>
      <c r="AP79" s="5">
        <v>-0.12882976394192</v>
      </c>
      <c r="AQ79" s="5">
        <v>0.17211957643845999</v>
      </c>
      <c r="AR79" s="5">
        <v>-0.27884617851242399</v>
      </c>
      <c r="AS79" s="5">
        <v>0.42954240840393398</v>
      </c>
      <c r="AT79" s="5">
        <v>0.140842135575203</v>
      </c>
      <c r="AU79" s="5">
        <v>-0.20971289783569899</v>
      </c>
      <c r="AV79" s="5">
        <v>-0.323355507167155</v>
      </c>
      <c r="AW79" s="5">
        <v>0.57843976178560597</v>
      </c>
      <c r="AX79" s="5">
        <v>-0.42660562245282302</v>
      </c>
      <c r="AY79" s="5">
        <v>0.723176223835717</v>
      </c>
      <c r="AZ79" s="5">
        <v>-0.38270214476133202</v>
      </c>
      <c r="BA79" s="5">
        <v>0.49057453456219702</v>
      </c>
      <c r="BB79" s="5">
        <v>-0.32734580021262299</v>
      </c>
      <c r="BC79" s="5">
        <v>0.50951301567461105</v>
      </c>
      <c r="BD79" s="5">
        <v>-5.3644247482586803E-3</v>
      </c>
      <c r="BE79" s="5">
        <v>-8.5490720639296094E-3</v>
      </c>
      <c r="BF79" s="5">
        <v>-0.20912304206156901</v>
      </c>
      <c r="BG79" s="5">
        <v>0.33256287342157798</v>
      </c>
      <c r="BH79" s="5">
        <v>-0.44857789366420803</v>
      </c>
      <c r="BI79" s="5">
        <v>0.71073057178911603</v>
      </c>
      <c r="BJ79" s="5">
        <v>0.148703385259805</v>
      </c>
      <c r="BK79" s="5">
        <v>-0.32971336729188</v>
      </c>
      <c r="BL79" s="5">
        <v>-0.137522513494376</v>
      </c>
      <c r="BM79" s="5">
        <v>0.154086137374945</v>
      </c>
      <c r="BN79" s="5">
        <v>9.8217886449716102E-2</v>
      </c>
      <c r="BO79" s="5">
        <v>-0.20666318238405501</v>
      </c>
      <c r="BP79" s="5">
        <v>0.102842228632937</v>
      </c>
      <c r="BQ79" s="5">
        <v>-0.28093557428740301</v>
      </c>
      <c r="BR79" s="5">
        <v>-0.50728419710364203</v>
      </c>
      <c r="BS79" s="5">
        <v>0.70794610274575098</v>
      </c>
      <c r="BT79" s="5">
        <v>-0.38537733333350699</v>
      </c>
      <c r="BU79" s="5">
        <v>0.68123572330444304</v>
      </c>
      <c r="BV79" s="5">
        <v>-0.50555307360649904</v>
      </c>
      <c r="BW79" s="5">
        <v>0.76349481734609004</v>
      </c>
      <c r="BX79" s="5">
        <v>-0.48751808531778001</v>
      </c>
      <c r="BY79" s="5">
        <v>0.76287257773362704</v>
      </c>
      <c r="BZ79" s="5">
        <v>-0.75130314292272704</v>
      </c>
      <c r="CA79" s="5">
        <v>1</v>
      </c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</row>
    <row r="80" spans="1:389" x14ac:dyDescent="0.45">
      <c r="A80" s="4" t="str">
        <f ca="1">"COM / beta1dist in "&amp;CELL("address",'damages-1990'!$J$41)</f>
        <v>COM / beta1dist in '[BHM betas v3pd.xlsx]damages-1990'!$J$41</v>
      </c>
      <c r="B80" s="6">
        <v>4.35660713565998E-3</v>
      </c>
      <c r="C80" s="5">
        <v>0.38877682291587801</v>
      </c>
      <c r="D80" s="5">
        <v>0.48899818608857998</v>
      </c>
      <c r="E80" s="5">
        <v>-0.18773619615086601</v>
      </c>
      <c r="F80" s="5">
        <v>0.12899138314888201</v>
      </c>
      <c r="G80" s="5">
        <v>2.5245231521482801E-2</v>
      </c>
      <c r="H80" s="5">
        <v>1.8390132504783201E-2</v>
      </c>
      <c r="I80" s="5">
        <v>-9.6433716272567901E-2</v>
      </c>
      <c r="J80" s="5">
        <v>0.119425579653313</v>
      </c>
      <c r="K80" s="5">
        <v>0.21115101478227</v>
      </c>
      <c r="L80" s="5">
        <v>0.225400115863123</v>
      </c>
      <c r="M80" s="5">
        <v>7.1750934510478606E-2</v>
      </c>
      <c r="N80" s="5">
        <v>0.169385463267714</v>
      </c>
      <c r="O80" s="5">
        <v>-0.21054247867874901</v>
      </c>
      <c r="P80" s="5">
        <v>0.20997418464065601</v>
      </c>
      <c r="Q80" s="5">
        <v>-2.3626707532169802E-2</v>
      </c>
      <c r="R80" s="5">
        <v>0.538710696121246</v>
      </c>
      <c r="S80" s="5">
        <v>-0.29782841972257601</v>
      </c>
      <c r="T80" s="5">
        <v>-0.14655038673873799</v>
      </c>
      <c r="U80" s="5">
        <v>0.14218974682535199</v>
      </c>
      <c r="V80" s="5">
        <v>0.102638735889477</v>
      </c>
      <c r="W80" s="5">
        <v>0.207232761527821</v>
      </c>
      <c r="X80" s="5">
        <v>0.53523363064501805</v>
      </c>
      <c r="Y80" s="5">
        <v>-0.25221666692952299</v>
      </c>
      <c r="Z80" s="5">
        <v>3.07812346057658E-2</v>
      </c>
      <c r="AA80" s="5">
        <v>1.4461983724837301E-2</v>
      </c>
      <c r="AB80" s="5">
        <v>0.38858781006049897</v>
      </c>
      <c r="AC80" s="5">
        <v>-0.130254580977993</v>
      </c>
      <c r="AD80" s="5">
        <v>0.219305026574041</v>
      </c>
      <c r="AE80" s="5">
        <v>4.6445871369292797E-2</v>
      </c>
      <c r="AF80" s="5">
        <v>0.189488982567592</v>
      </c>
      <c r="AG80" s="5">
        <v>0.110016880563645</v>
      </c>
      <c r="AH80" s="5">
        <v>9.6147280349405201E-2</v>
      </c>
      <c r="AI80" s="5">
        <v>2.77420005290498E-2</v>
      </c>
      <c r="AJ80" s="5">
        <v>0.194439263534362</v>
      </c>
      <c r="AK80" s="5">
        <v>0.136847104221483</v>
      </c>
      <c r="AL80" s="5">
        <v>0.627798128371167</v>
      </c>
      <c r="AM80" s="5">
        <v>-0.53582895765467298</v>
      </c>
      <c r="AN80" s="5">
        <v>-4.3028859602375104E-3</v>
      </c>
      <c r="AO80" s="5">
        <v>7.8211773386457906E-2</v>
      </c>
      <c r="AP80" s="5">
        <v>-0.12126352231418699</v>
      </c>
      <c r="AQ80" s="5">
        <v>0.12314925285893299</v>
      </c>
      <c r="AR80" s="5">
        <v>0.47877676426292398</v>
      </c>
      <c r="AS80" s="5">
        <v>-0.30440362881358302</v>
      </c>
      <c r="AT80" s="5">
        <v>0.369011005253288</v>
      </c>
      <c r="AU80" s="5">
        <v>-0.14607427993465</v>
      </c>
      <c r="AV80" s="5">
        <v>0.51351670844185104</v>
      </c>
      <c r="AW80" s="5">
        <v>-0.303163730974922</v>
      </c>
      <c r="AX80" s="5">
        <v>0.54691425172258601</v>
      </c>
      <c r="AY80" s="5">
        <v>-0.38054472226107799</v>
      </c>
      <c r="AZ80" s="5">
        <v>0.10127225570921899</v>
      </c>
      <c r="BA80" s="5">
        <v>8.04714256657479E-2</v>
      </c>
      <c r="BB80" s="5">
        <v>0.35247426574711299</v>
      </c>
      <c r="BC80" s="5">
        <v>2.12835065413194E-2</v>
      </c>
      <c r="BD80" s="5">
        <v>3.9668378488783799E-3</v>
      </c>
      <c r="BE80" s="5">
        <v>0.313173559301405</v>
      </c>
      <c r="BF80" s="5">
        <v>0.280799115310086</v>
      </c>
      <c r="BG80" s="5">
        <v>1.0911112279992001E-2</v>
      </c>
      <c r="BH80" s="5">
        <v>0.41828329652430501</v>
      </c>
      <c r="BI80" s="5">
        <v>-0.139029446246728</v>
      </c>
      <c r="BJ80" s="5">
        <v>-0.35775401288449599</v>
      </c>
      <c r="BK80" s="5">
        <v>0.294146711358727</v>
      </c>
      <c r="BL80" s="5">
        <v>-6.12433875134335E-2</v>
      </c>
      <c r="BM80" s="5">
        <v>4.9498961417135303E-3</v>
      </c>
      <c r="BN80" s="5">
        <v>-5.8071612806933501E-2</v>
      </c>
      <c r="BO80" s="5">
        <v>0.10208766648817701</v>
      </c>
      <c r="BP80" s="5">
        <v>-0.123057005913315</v>
      </c>
      <c r="BQ80" s="5">
        <v>0.217020066630876</v>
      </c>
      <c r="BR80" s="5">
        <v>0.36838346966294999</v>
      </c>
      <c r="BS80" s="5">
        <v>-0.109598427660084</v>
      </c>
      <c r="BT80" s="5">
        <v>0.45363601089215599</v>
      </c>
      <c r="BU80" s="5">
        <v>-0.17967632452007401</v>
      </c>
      <c r="BV80" s="5">
        <v>0.55177328624976496</v>
      </c>
      <c r="BW80" s="5">
        <v>-0.28901186387281802</v>
      </c>
      <c r="BX80" s="5">
        <v>0.56162362670501498</v>
      </c>
      <c r="BY80" s="5">
        <v>-0.35997094458335599</v>
      </c>
      <c r="BZ80" s="5">
        <v>0.58817702500114499</v>
      </c>
      <c r="CA80" s="5">
        <v>-0.37861628572137801</v>
      </c>
      <c r="CB80" s="5">
        <v>1</v>
      </c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</row>
    <row r="81" spans="1:389" x14ac:dyDescent="0.45">
      <c r="A81" s="4" t="str">
        <f ca="1">"COM / beta2dist in "&amp;CELL("address",'damages-1990'!$K$41)</f>
        <v>COM / beta2dist in '[BHM betas v3pd.xlsx]damages-1990'!$K$41</v>
      </c>
      <c r="B81" s="6">
        <v>9.6729831118515394E-2</v>
      </c>
      <c r="C81" s="5">
        <v>-0.19077576199565499</v>
      </c>
      <c r="D81" s="5">
        <v>-0.27750120591585098</v>
      </c>
      <c r="E81" s="5">
        <v>0.34383746786402097</v>
      </c>
      <c r="F81" s="5">
        <v>-5.8074484827880399E-2</v>
      </c>
      <c r="G81" s="5">
        <v>9.7985914814912006E-2</v>
      </c>
      <c r="H81" s="5">
        <v>-0.14372697242716001</v>
      </c>
      <c r="I81" s="5">
        <v>0.17069777633077099</v>
      </c>
      <c r="J81" s="5">
        <v>7.9722851416758805E-2</v>
      </c>
      <c r="K81" s="5">
        <v>-7.2079194792835102E-2</v>
      </c>
      <c r="L81" s="5">
        <v>2.6183591382577401E-3</v>
      </c>
      <c r="M81" s="5">
        <v>-4.7229488887965597E-2</v>
      </c>
      <c r="N81" s="5">
        <v>-0.18614081461735199</v>
      </c>
      <c r="O81" s="5">
        <v>0.220201206830834</v>
      </c>
      <c r="P81" s="5">
        <v>-0.24456636782485699</v>
      </c>
      <c r="Q81" s="5">
        <v>0.27212907587555202</v>
      </c>
      <c r="R81" s="5">
        <v>-0.36153813280594999</v>
      </c>
      <c r="S81" s="5">
        <v>0.49491478391528299</v>
      </c>
      <c r="T81" s="5">
        <v>2.73313909920916E-2</v>
      </c>
      <c r="U81" s="5">
        <v>-2.50947720466352E-2</v>
      </c>
      <c r="V81" s="5">
        <v>3.7936890653538599E-2</v>
      </c>
      <c r="W81" s="5">
        <v>-9.8015521712521397E-2</v>
      </c>
      <c r="X81" s="5">
        <v>-0.37238425548277498</v>
      </c>
      <c r="Y81" s="5">
        <v>0.434146475928608</v>
      </c>
      <c r="Z81" s="5">
        <v>-8.3773926773182503E-2</v>
      </c>
      <c r="AA81" s="5">
        <v>0.11180612568850699</v>
      </c>
      <c r="AB81" s="5">
        <v>-0.26558128107586199</v>
      </c>
      <c r="AC81" s="5">
        <v>0.31804840035865101</v>
      </c>
      <c r="AD81" s="5">
        <v>-0.14023153007684</v>
      </c>
      <c r="AE81" s="5">
        <v>0.189393310485688</v>
      </c>
      <c r="AF81" s="5">
        <v>2.8473055245198599E-3</v>
      </c>
      <c r="AG81" s="5">
        <v>-1.13479328539095E-2</v>
      </c>
      <c r="AH81" s="5">
        <v>-4.2875995197431099E-2</v>
      </c>
      <c r="AI81" s="5">
        <v>7.2619324594670895E-2</v>
      </c>
      <c r="AJ81" s="5">
        <v>-3.5791159359325003E-2</v>
      </c>
      <c r="AK81" s="5">
        <v>1.88975115248676E-2</v>
      </c>
      <c r="AL81" s="5">
        <v>-0.36482364260556499</v>
      </c>
      <c r="AM81" s="5">
        <v>0.43953836458888101</v>
      </c>
      <c r="AN81" s="5">
        <v>-2.7464035528383501E-2</v>
      </c>
      <c r="AO81" s="5">
        <v>4.2234622808478103E-2</v>
      </c>
      <c r="AP81" s="5">
        <v>-1.74761766224465E-2</v>
      </c>
      <c r="AQ81" s="5">
        <v>3.0456414420860198E-2</v>
      </c>
      <c r="AR81" s="5">
        <v>-0.25102799024476002</v>
      </c>
      <c r="AS81" s="5">
        <v>0.35249131038212</v>
      </c>
      <c r="AT81" s="5">
        <v>-7.2597961029755201E-2</v>
      </c>
      <c r="AU81" s="5">
        <v>-9.3789207285050209E-3</v>
      </c>
      <c r="AV81" s="5">
        <v>-0.26987228402847502</v>
      </c>
      <c r="AW81" s="5">
        <v>0.45651684916218899</v>
      </c>
      <c r="AX81" s="5">
        <v>-0.32120201765063</v>
      </c>
      <c r="AY81" s="5">
        <v>0.54072845826183003</v>
      </c>
      <c r="AZ81" s="5">
        <v>-8.95392823528844E-2</v>
      </c>
      <c r="BA81" s="5">
        <v>0.116440861240018</v>
      </c>
      <c r="BB81" s="5">
        <v>-0.139600626753135</v>
      </c>
      <c r="BC81" s="5">
        <v>0.13060246705770101</v>
      </c>
      <c r="BD81" s="5">
        <v>2.18993904817756E-2</v>
      </c>
      <c r="BE81" s="5">
        <v>-6.8873963609620698E-2</v>
      </c>
      <c r="BF81" s="5">
        <v>-9.9676054666000394E-2</v>
      </c>
      <c r="BG81" s="5">
        <v>9.7076260302138395E-2</v>
      </c>
      <c r="BH81" s="5">
        <v>-0.23611932969591101</v>
      </c>
      <c r="BI81" s="5">
        <v>0.33284358809382802</v>
      </c>
      <c r="BJ81" s="5">
        <v>0.187556823945639</v>
      </c>
      <c r="BK81" s="5">
        <v>-0.31217421760880398</v>
      </c>
      <c r="BL81" s="5">
        <v>-9.5299642538023699E-2</v>
      </c>
      <c r="BM81" s="5">
        <v>0.124612295113359</v>
      </c>
      <c r="BN81" s="5">
        <v>-2.2787150225152899E-2</v>
      </c>
      <c r="BO81" s="5">
        <v>2.0392899710576898E-2</v>
      </c>
      <c r="BP81" s="5">
        <v>5.1952452697805601E-2</v>
      </c>
      <c r="BQ81" s="5">
        <v>-0.13670341799553701</v>
      </c>
      <c r="BR81" s="5">
        <v>-0.33248201638814001</v>
      </c>
      <c r="BS81" s="5">
        <v>0.37333532373984701</v>
      </c>
      <c r="BT81" s="5">
        <v>-0.27238372407189698</v>
      </c>
      <c r="BU81" s="5">
        <v>0.39313260717769699</v>
      </c>
      <c r="BV81" s="5">
        <v>-0.37374778891216298</v>
      </c>
      <c r="BW81" s="5">
        <v>0.48557623221924701</v>
      </c>
      <c r="BX81" s="5">
        <v>-0.39736949178290099</v>
      </c>
      <c r="BY81" s="5">
        <v>0.54318667783291197</v>
      </c>
      <c r="BZ81" s="5">
        <v>-0.41833582785281898</v>
      </c>
      <c r="CA81" s="5">
        <v>0.55627656334338604</v>
      </c>
      <c r="CB81" s="5">
        <v>-0.85546476762908596</v>
      </c>
      <c r="CC81" s="5">
        <v>1</v>
      </c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</row>
    <row r="82" spans="1:389" x14ac:dyDescent="0.45">
      <c r="A82" s="4" t="str">
        <f ca="1">"CPV / beta1dist in "&amp;CELL("address",'damages-1990'!$J$42)</f>
        <v>CPV / beta1dist in '[BHM betas v3pd.xlsx]damages-1990'!$J$42</v>
      </c>
      <c r="B82" s="6">
        <v>0.29199851745081801</v>
      </c>
      <c r="C82" s="5">
        <v>-0.13083875052213501</v>
      </c>
      <c r="D82" s="5">
        <v>0.36313319008080303</v>
      </c>
      <c r="E82" s="5">
        <v>-0.24775707602995001</v>
      </c>
      <c r="F82" s="5">
        <v>0.12918598599362799</v>
      </c>
      <c r="G82" s="5">
        <v>6.7864226944316999E-2</v>
      </c>
      <c r="H82" s="5">
        <v>-0.17389319989966801</v>
      </c>
      <c r="I82" s="5">
        <v>0.20438222039044801</v>
      </c>
      <c r="J82" s="5">
        <v>0.27838740230261999</v>
      </c>
      <c r="K82" s="5">
        <v>-0.13000825317921499</v>
      </c>
      <c r="L82" s="5">
        <v>0.18602800429918101</v>
      </c>
      <c r="M82" s="5">
        <v>1.2945074084057999E-2</v>
      </c>
      <c r="N82" s="5">
        <v>0.122349986632457</v>
      </c>
      <c r="O82" s="5">
        <v>-7.6542112264507398E-2</v>
      </c>
      <c r="P82" s="5">
        <v>0.44839277930439198</v>
      </c>
      <c r="Q82" s="5">
        <v>-0.26009390289171103</v>
      </c>
      <c r="R82" s="5">
        <v>0.23119482891797799</v>
      </c>
      <c r="S82" s="5">
        <v>-9.1722774071908E-2</v>
      </c>
      <c r="T82" s="5">
        <v>3.3750740012953598E-2</v>
      </c>
      <c r="U82" s="5">
        <v>-1.05768198990448E-2</v>
      </c>
      <c r="V82" s="5">
        <v>0.20543051379521801</v>
      </c>
      <c r="W82" s="5">
        <v>1.30996163297413E-2</v>
      </c>
      <c r="X82" s="5">
        <v>0.25683979767785398</v>
      </c>
      <c r="Y82" s="5">
        <v>-0.121857822767773</v>
      </c>
      <c r="Z82" s="5">
        <v>4.9599030924290903E-2</v>
      </c>
      <c r="AA82" s="5">
        <v>2.8116078076803101E-2</v>
      </c>
      <c r="AB82" s="5">
        <v>0.16779500270341299</v>
      </c>
      <c r="AC82" s="5">
        <v>-0.13414215323572901</v>
      </c>
      <c r="AD82" s="5">
        <v>0.199095679725206</v>
      </c>
      <c r="AE82" s="5">
        <v>-0.14578753184221999</v>
      </c>
      <c r="AF82" s="5">
        <v>0.25359000546537402</v>
      </c>
      <c r="AG82" s="5">
        <v>-0.14144836156857399</v>
      </c>
      <c r="AH82" s="5">
        <v>0.13748964389173199</v>
      </c>
      <c r="AI82" s="5">
        <v>3.7133621000526702E-2</v>
      </c>
      <c r="AJ82" s="5">
        <v>0.207271858681948</v>
      </c>
      <c r="AK82" s="5">
        <v>-4.9245802061253001E-2</v>
      </c>
      <c r="AL82" s="5">
        <v>0.115883330290937</v>
      </c>
      <c r="AM82" s="5">
        <v>2.6480750884693101E-2</v>
      </c>
      <c r="AN82" s="5">
        <v>0.12679664056425499</v>
      </c>
      <c r="AO82" s="5">
        <v>-2.6643733000539099E-2</v>
      </c>
      <c r="AP82" s="5">
        <v>-6.0655628230931798E-2</v>
      </c>
      <c r="AQ82" s="5">
        <v>0.10508391376932</v>
      </c>
      <c r="AR82" s="5">
        <v>0.15982278074890899</v>
      </c>
      <c r="AS82" s="5">
        <v>1.24441842736583E-2</v>
      </c>
      <c r="AT82" s="5">
        <v>8.3401602923860001E-3</v>
      </c>
      <c r="AU82" s="5">
        <v>8.2114835924861407E-2</v>
      </c>
      <c r="AV82" s="5">
        <v>0.18110112504891801</v>
      </c>
      <c r="AW82" s="5">
        <v>-7.4808206686283098E-3</v>
      </c>
      <c r="AX82" s="5">
        <v>0.26542333203832402</v>
      </c>
      <c r="AY82" s="5">
        <v>-0.11914150944570701</v>
      </c>
      <c r="AZ82" s="5">
        <v>0.45758572436273698</v>
      </c>
      <c r="BA82" s="5">
        <v>-0.268543588726324</v>
      </c>
      <c r="BB82" s="5">
        <v>0.27074269199546902</v>
      </c>
      <c r="BC82" s="5">
        <v>-0.16376419833738301</v>
      </c>
      <c r="BD82" s="5">
        <v>0.12977927038631901</v>
      </c>
      <c r="BE82" s="5">
        <v>6.6231061341137695E-2</v>
      </c>
      <c r="BF82" s="5">
        <v>0.19513474173408199</v>
      </c>
      <c r="BG82" s="5">
        <v>-6.5113261484053803E-2</v>
      </c>
      <c r="BH82" s="5">
        <v>0.335691933085356</v>
      </c>
      <c r="BI82" s="5">
        <v>-0.23891569726217801</v>
      </c>
      <c r="BJ82" s="5">
        <v>-0.25303589663534198</v>
      </c>
      <c r="BK82" s="5">
        <v>0.27481021551259999</v>
      </c>
      <c r="BL82" s="5">
        <v>2.21264008419556E-2</v>
      </c>
      <c r="BM82" s="5">
        <v>-7.8259031791843292E-3</v>
      </c>
      <c r="BN82" s="5">
        <v>2.56242905480282E-2</v>
      </c>
      <c r="BO82" s="5">
        <v>7.7486599603047698E-2</v>
      </c>
      <c r="BP82" s="5">
        <v>-2.54320277948074E-2</v>
      </c>
      <c r="BQ82" s="5">
        <v>0.145742756689517</v>
      </c>
      <c r="BR82" s="5">
        <v>0.144966115299385</v>
      </c>
      <c r="BS82" s="5">
        <v>-0.11791393968587301</v>
      </c>
      <c r="BT82" s="5">
        <v>0.23329089267120601</v>
      </c>
      <c r="BU82" s="5">
        <v>-0.131647363366029</v>
      </c>
      <c r="BV82" s="5">
        <v>0.28281645554760898</v>
      </c>
      <c r="BW82" s="5">
        <v>-0.163660392754996</v>
      </c>
      <c r="BX82" s="5">
        <v>0.15351794057066701</v>
      </c>
      <c r="BY82" s="5">
        <v>-4.0397066014390103E-2</v>
      </c>
      <c r="BZ82" s="5">
        <v>0.24864624702414001</v>
      </c>
      <c r="CA82" s="5">
        <v>-0.16651967551484301</v>
      </c>
      <c r="CB82" s="5">
        <v>0.14264852133102801</v>
      </c>
      <c r="CC82" s="5">
        <v>-1.7615234994140801E-2</v>
      </c>
      <c r="CD82" s="5">
        <v>1</v>
      </c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</row>
    <row r="83" spans="1:389" x14ac:dyDescent="0.45">
      <c r="A83" s="4" t="str">
        <f ca="1">"CPV / beta2dist in "&amp;CELL("address",'damages-1990'!$K$42)</f>
        <v>CPV / beta2dist in '[BHM betas v3pd.xlsx]damages-1990'!$K$42</v>
      </c>
      <c r="B83" s="6">
        <v>-0.171926180268343</v>
      </c>
      <c r="C83" s="5">
        <v>0.29601751538935001</v>
      </c>
      <c r="D83" s="5">
        <v>-0.14705683298521099</v>
      </c>
      <c r="E83" s="5">
        <v>0.34460573900892599</v>
      </c>
      <c r="F83" s="5">
        <v>-5.4773656171070804E-3</v>
      </c>
      <c r="G83" s="5">
        <v>-3.3081210062463701E-2</v>
      </c>
      <c r="H83" s="5">
        <v>9.9088067866172497E-2</v>
      </c>
      <c r="I83" s="5">
        <v>-0.16550176049378401</v>
      </c>
      <c r="J83" s="5">
        <v>-7.5051093148119197E-2</v>
      </c>
      <c r="K83" s="5">
        <v>0.202985081337516</v>
      </c>
      <c r="L83" s="5">
        <v>6.21859127214432E-2</v>
      </c>
      <c r="M83" s="5">
        <v>-4.1452760777304101E-2</v>
      </c>
      <c r="N83" s="5">
        <v>-9.6126416220864E-2</v>
      </c>
      <c r="O83" s="5">
        <v>5.6841211606481798E-2</v>
      </c>
      <c r="P83" s="5">
        <v>-0.468647582124392</v>
      </c>
      <c r="Q83" s="5">
        <v>0.458910822001247</v>
      </c>
      <c r="R83" s="5">
        <v>-1.54428865960469E-2</v>
      </c>
      <c r="S83" s="5">
        <v>0.18394726247700199</v>
      </c>
      <c r="T83" s="5">
        <v>-0.144759533486047</v>
      </c>
      <c r="U83" s="5">
        <v>0.13608040703125299</v>
      </c>
      <c r="V83" s="5">
        <v>-6.4819771947179403E-2</v>
      </c>
      <c r="W83" s="5">
        <v>9.1427843189080496E-2</v>
      </c>
      <c r="X83" s="5">
        <v>-5.9456273855818302E-2</v>
      </c>
      <c r="Y83" s="5">
        <v>0.212869744225679</v>
      </c>
      <c r="Z83" s="5">
        <v>-5.6864584091300401E-2</v>
      </c>
      <c r="AA83" s="5">
        <v>5.6571541804873303E-2</v>
      </c>
      <c r="AB83" s="5">
        <v>-1.3453782023893E-2</v>
      </c>
      <c r="AC83" s="5">
        <v>0.24818124546321599</v>
      </c>
      <c r="AD83" s="5">
        <v>-0.11130308449701801</v>
      </c>
      <c r="AE83" s="5">
        <v>0.32634280964684698</v>
      </c>
      <c r="AF83" s="5">
        <v>-0.10820184883211</v>
      </c>
      <c r="AG83" s="5">
        <v>0.24059008353810801</v>
      </c>
      <c r="AH83" s="5">
        <v>-5.8590210335061899E-2</v>
      </c>
      <c r="AI83" s="5">
        <v>1.74199251966498E-2</v>
      </c>
      <c r="AJ83" s="5">
        <v>-1.1923249326525999E-2</v>
      </c>
      <c r="AK83" s="5">
        <v>0.11554284119958499</v>
      </c>
      <c r="AL83" s="5">
        <v>0.21627585932301599</v>
      </c>
      <c r="AM83" s="5">
        <v>-0.24363557098810101</v>
      </c>
      <c r="AN83" s="5">
        <v>-0.13891636045393099</v>
      </c>
      <c r="AO83" s="5">
        <v>0.128035279183524</v>
      </c>
      <c r="AP83" s="5">
        <v>-3.29388221621814E-2</v>
      </c>
      <c r="AQ83" s="5">
        <v>9.4012727693890304E-3</v>
      </c>
      <c r="AR83" s="5">
        <v>0.124948353419953</v>
      </c>
      <c r="AS83" s="5">
        <v>-8.7142064061583493E-2</v>
      </c>
      <c r="AT83" s="5">
        <v>0.24907514966453401</v>
      </c>
      <c r="AU83" s="5">
        <v>-0.198354955865163</v>
      </c>
      <c r="AV83" s="5">
        <v>6.4267673967560807E-2</v>
      </c>
      <c r="AW83" s="5">
        <v>8.4852758595028596E-2</v>
      </c>
      <c r="AX83" s="5">
        <v>-1.4142707738966601E-2</v>
      </c>
      <c r="AY83" s="5">
        <v>0.16301885459684801</v>
      </c>
      <c r="AZ83" s="5">
        <v>-0.456022195367556</v>
      </c>
      <c r="BA83" s="5">
        <v>0.444580210693651</v>
      </c>
      <c r="BB83" s="5">
        <v>1.5642626235722601E-2</v>
      </c>
      <c r="BC83" s="5">
        <v>0.178839947492278</v>
      </c>
      <c r="BD83" s="5">
        <v>-7.1158137892929796E-2</v>
      </c>
      <c r="BE83" s="5">
        <v>0.12743202994122599</v>
      </c>
      <c r="BF83" s="5">
        <v>-3.1826440902278499E-2</v>
      </c>
      <c r="BG83" s="5">
        <v>0.15978943284433</v>
      </c>
      <c r="BH83" s="5">
        <v>-0.101291738663951</v>
      </c>
      <c r="BI83" s="5">
        <v>0.315010683268723</v>
      </c>
      <c r="BJ83" s="5">
        <v>0.106571894895289</v>
      </c>
      <c r="BK83" s="5">
        <v>-0.25050718868511701</v>
      </c>
      <c r="BL83" s="5">
        <v>-0.12558365721025599</v>
      </c>
      <c r="BM83" s="5">
        <v>9.9052005614257393E-2</v>
      </c>
      <c r="BN83" s="5">
        <v>-6.9931232697683796E-2</v>
      </c>
      <c r="BO83" s="5">
        <v>3.0739737325011399E-2</v>
      </c>
      <c r="BP83" s="5">
        <v>-2.8460768277599599E-3</v>
      </c>
      <c r="BQ83" s="5">
        <v>-8.6354293909169294E-2</v>
      </c>
      <c r="BR83" s="5">
        <v>-4.9131404040435499E-2</v>
      </c>
      <c r="BS83" s="5">
        <v>0.27440127480392501</v>
      </c>
      <c r="BT83" s="5">
        <v>4.9416155303461298E-3</v>
      </c>
      <c r="BU83" s="5">
        <v>0.212737512806151</v>
      </c>
      <c r="BV83" s="5">
        <v>-1.90558001704247E-2</v>
      </c>
      <c r="BW83" s="5">
        <v>0.20057408574199101</v>
      </c>
      <c r="BX83" s="5">
        <v>0.104753204574904</v>
      </c>
      <c r="BY83" s="5">
        <v>5.2095607541880702E-2</v>
      </c>
      <c r="BZ83" s="5">
        <v>-1.0455861859465799E-2</v>
      </c>
      <c r="CA83" s="5">
        <v>0.20743632789074801</v>
      </c>
      <c r="CB83" s="5">
        <v>0.133894546380844</v>
      </c>
      <c r="CC83" s="5">
        <v>-4.8298704799584598E-2</v>
      </c>
      <c r="CD83" s="5">
        <v>-0.87987198408001599</v>
      </c>
      <c r="CE83" s="5">
        <v>1</v>
      </c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</row>
    <row r="84" spans="1:389" x14ac:dyDescent="0.45">
      <c r="A84" s="4" t="str">
        <f ca="1">"CRI / beta1dist in "&amp;CELL("address",'damages-1990'!$J$43)</f>
        <v>CRI / beta1dist in '[BHM betas v3pd.xlsx]damages-1990'!$J$43</v>
      </c>
      <c r="B84" s="6">
        <v>0.15502271372874199</v>
      </c>
      <c r="C84" s="5">
        <v>0.124029650615503</v>
      </c>
      <c r="D84" s="5">
        <v>0.60682368374135398</v>
      </c>
      <c r="E84" s="5">
        <v>-0.45647145258171901</v>
      </c>
      <c r="F84" s="5">
        <v>5.2220879687517298E-2</v>
      </c>
      <c r="G84" s="5">
        <v>0.185725441636093</v>
      </c>
      <c r="H84" s="5">
        <v>-0.29262125052430399</v>
      </c>
      <c r="I84" s="5">
        <v>0.28436789876472301</v>
      </c>
      <c r="J84" s="5">
        <v>0.34852820445808003</v>
      </c>
      <c r="K84" s="5">
        <v>-7.0976493106747196E-2</v>
      </c>
      <c r="L84" s="5">
        <v>0.18097430579100501</v>
      </c>
      <c r="M84" s="5">
        <v>0.13889268865332899</v>
      </c>
      <c r="N84" s="5">
        <v>0.13555359364563199</v>
      </c>
      <c r="O84" s="5">
        <v>-0.20082916181267499</v>
      </c>
      <c r="P84" s="5">
        <v>0.53937354747620103</v>
      </c>
      <c r="Q84" s="5">
        <v>-0.43209203958557801</v>
      </c>
      <c r="R84" s="5">
        <v>0.44255223644899999</v>
      </c>
      <c r="S84" s="5">
        <v>-0.25652357588638203</v>
      </c>
      <c r="T84" s="5">
        <v>2.5252128516370299E-2</v>
      </c>
      <c r="U84" s="5">
        <v>-6.07426645496498E-2</v>
      </c>
      <c r="V84" s="5">
        <v>0.16176785575164501</v>
      </c>
      <c r="W84" s="5">
        <v>0.123992108067951</v>
      </c>
      <c r="X84" s="5">
        <v>0.57010638185078999</v>
      </c>
      <c r="Y84" s="5">
        <v>-0.37635013353796598</v>
      </c>
      <c r="Z84" s="5">
        <v>-3.0465955236741501E-2</v>
      </c>
      <c r="AA84" s="5">
        <v>8.3592985094342195E-2</v>
      </c>
      <c r="AB84" s="5">
        <v>0.52335931863202301</v>
      </c>
      <c r="AC84" s="5">
        <v>-0.47995669549638498</v>
      </c>
      <c r="AD84" s="5">
        <v>0.48527059870668199</v>
      </c>
      <c r="AE84" s="5">
        <v>-0.41434410907119001</v>
      </c>
      <c r="AF84" s="5">
        <v>0.38720622819924799</v>
      </c>
      <c r="AG84" s="5">
        <v>-0.20591283941809699</v>
      </c>
      <c r="AH84" s="5">
        <v>8.60244478242672E-2</v>
      </c>
      <c r="AI84" s="5">
        <v>8.1307071584496904E-2</v>
      </c>
      <c r="AJ84" s="5">
        <v>0.35383800691113798</v>
      </c>
      <c r="AK84" s="5">
        <v>-5.0112730776882802E-2</v>
      </c>
      <c r="AL84" s="5">
        <v>0.30029099037761198</v>
      </c>
      <c r="AM84" s="5">
        <v>-0.154747539722977</v>
      </c>
      <c r="AN84" s="5">
        <v>9.0977162530134006E-2</v>
      </c>
      <c r="AO84" s="5">
        <v>-3.9669775176274499E-2</v>
      </c>
      <c r="AP84" s="5">
        <v>-0.108111110950132</v>
      </c>
      <c r="AQ84" s="5">
        <v>8.2673013058432596E-2</v>
      </c>
      <c r="AR84" s="5">
        <v>0.62408620455511399</v>
      </c>
      <c r="AS84" s="5">
        <v>-0.51677657503531904</v>
      </c>
      <c r="AT84" s="5">
        <v>0.172920056600569</v>
      </c>
      <c r="AU84" s="5">
        <v>-1.8081452057771401E-3</v>
      </c>
      <c r="AV84" s="5">
        <v>0.61080663153842196</v>
      </c>
      <c r="AW84" s="5">
        <v>-0.50250528758600299</v>
      </c>
      <c r="AX84" s="5">
        <v>0.71540243881918897</v>
      </c>
      <c r="AY84" s="5">
        <v>-0.63709327860103204</v>
      </c>
      <c r="AZ84" s="5">
        <v>0.61279016119517005</v>
      </c>
      <c r="BA84" s="5">
        <v>-0.49315437267808099</v>
      </c>
      <c r="BB84" s="5">
        <v>0.36579232858800897</v>
      </c>
      <c r="BC84" s="5">
        <v>-0.17744922032306701</v>
      </c>
      <c r="BD84" s="5">
        <v>3.5942426359031797E-2</v>
      </c>
      <c r="BE84" s="5">
        <v>0.227906147596241</v>
      </c>
      <c r="BF84" s="5">
        <v>0.55407342666806603</v>
      </c>
      <c r="BG84" s="5">
        <v>-0.39871478424826301</v>
      </c>
      <c r="BH84" s="5">
        <v>0.58250716231921595</v>
      </c>
      <c r="BI84" s="5">
        <v>-0.47131740823546497</v>
      </c>
      <c r="BJ84" s="5">
        <v>-0.25959087576462597</v>
      </c>
      <c r="BK84" s="5">
        <v>0.186243641339573</v>
      </c>
      <c r="BL84" s="5">
        <v>-6.3376470135837496E-3</v>
      </c>
      <c r="BM84" s="5">
        <v>-5.3815358132039401E-2</v>
      </c>
      <c r="BN84" s="5">
        <v>-0.165489222541018</v>
      </c>
      <c r="BO84" s="5">
        <v>0.25751961812079699</v>
      </c>
      <c r="BP84" s="5">
        <v>-0.24489012841149599</v>
      </c>
      <c r="BQ84" s="5">
        <v>0.41848008512675899</v>
      </c>
      <c r="BR84" s="5">
        <v>0.46418039729775001</v>
      </c>
      <c r="BS84" s="5">
        <v>-0.42248485571100097</v>
      </c>
      <c r="BT84" s="5">
        <v>0.56819929435330396</v>
      </c>
      <c r="BU84" s="5">
        <v>-0.47136475153810398</v>
      </c>
      <c r="BV84" s="5">
        <v>0.50899418583962397</v>
      </c>
      <c r="BW84" s="5">
        <v>-0.37336515923118202</v>
      </c>
      <c r="BX84" s="5">
        <v>0.45278229051685898</v>
      </c>
      <c r="BY84" s="5">
        <v>-0.38084242341920199</v>
      </c>
      <c r="BZ84" s="5">
        <v>0.58287840342528696</v>
      </c>
      <c r="CA84" s="5">
        <v>-0.49886150281138902</v>
      </c>
      <c r="CB84" s="5">
        <v>0.43775231511188301</v>
      </c>
      <c r="CC84" s="5">
        <v>-0.330262935889026</v>
      </c>
      <c r="CD84" s="5">
        <v>0.31440275091937098</v>
      </c>
      <c r="CE84" s="5">
        <v>-0.20318389248145299</v>
      </c>
      <c r="CF84" s="5">
        <v>1</v>
      </c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</row>
    <row r="85" spans="1:389" x14ac:dyDescent="0.45">
      <c r="A85" s="4" t="str">
        <f ca="1">"CRI / beta2dist in "&amp;CELL("address",'damages-1990'!$K$43)</f>
        <v>CRI / beta2dist in '[BHM betas v3pd.xlsx]damages-1990'!$K$43</v>
      </c>
      <c r="B85" s="6">
        <v>-6.5758450333946006E-2</v>
      </c>
      <c r="C85" s="5">
        <v>7.17472403519228E-2</v>
      </c>
      <c r="D85" s="5">
        <v>-0.37991175740591498</v>
      </c>
      <c r="E85" s="5">
        <v>0.59158401093429303</v>
      </c>
      <c r="F85" s="5">
        <v>1.7253759280691301E-2</v>
      </c>
      <c r="G85" s="5">
        <v>-8.4974073428512306E-2</v>
      </c>
      <c r="H85" s="5">
        <v>0.186768028657332</v>
      </c>
      <c r="I85" s="5">
        <v>-0.24416913821690001</v>
      </c>
      <c r="J85" s="5">
        <v>-0.110793191413969</v>
      </c>
      <c r="K85" s="5">
        <v>0.148421065682697</v>
      </c>
      <c r="L85" s="5">
        <v>5.3831358287488001E-2</v>
      </c>
      <c r="M85" s="5">
        <v>-0.13245403202306899</v>
      </c>
      <c r="N85" s="5">
        <v>-0.16765883261377101</v>
      </c>
      <c r="O85" s="5">
        <v>0.226052252391129</v>
      </c>
      <c r="P85" s="5">
        <v>-0.50770406996921302</v>
      </c>
      <c r="Q85" s="5">
        <v>0.60943875818395199</v>
      </c>
      <c r="R85" s="5">
        <v>-0.246363051529639</v>
      </c>
      <c r="S85" s="5">
        <v>0.40750665208857301</v>
      </c>
      <c r="T85" s="5">
        <v>-0.125502627486549</v>
      </c>
      <c r="U85" s="5">
        <v>0.149607835809795</v>
      </c>
      <c r="V85" s="5">
        <v>-3.0450231495862699E-2</v>
      </c>
      <c r="W85" s="5">
        <v>-2.0569749974941799E-2</v>
      </c>
      <c r="X85" s="5">
        <v>-0.37209897078912602</v>
      </c>
      <c r="Y85" s="5">
        <v>0.50847856292984295</v>
      </c>
      <c r="Z85" s="5">
        <v>-1.5969467075507299E-2</v>
      </c>
      <c r="AA85" s="5">
        <v>2.3284704700041799E-2</v>
      </c>
      <c r="AB85" s="5">
        <v>-0.35765513620607597</v>
      </c>
      <c r="AC85" s="5">
        <v>0.62256138392330895</v>
      </c>
      <c r="AD85" s="5">
        <v>-0.35924897656708599</v>
      </c>
      <c r="AE85" s="5">
        <v>0.60011348976221701</v>
      </c>
      <c r="AF85" s="5">
        <v>-0.20584450714269101</v>
      </c>
      <c r="AG85" s="5">
        <v>0.305649486308744</v>
      </c>
      <c r="AH85" s="5">
        <v>-4.0082635641025502E-2</v>
      </c>
      <c r="AI85" s="5">
        <v>7.2656669527681296E-3</v>
      </c>
      <c r="AJ85" s="5">
        <v>-0.16918601900380101</v>
      </c>
      <c r="AK85" s="5">
        <v>0.15415421655684899</v>
      </c>
      <c r="AL85" s="5">
        <v>-3.73869225849763E-2</v>
      </c>
      <c r="AM85" s="5">
        <v>5.21539234240724E-2</v>
      </c>
      <c r="AN85" s="5">
        <v>-0.124743503865882</v>
      </c>
      <c r="AO85" s="5">
        <v>0.14596130745222599</v>
      </c>
      <c r="AP85" s="5">
        <v>-2.3719122803875298E-2</v>
      </c>
      <c r="AQ85" s="5">
        <v>6.2197009277022E-2</v>
      </c>
      <c r="AR85" s="5">
        <v>-0.41473954420922698</v>
      </c>
      <c r="AS85" s="5">
        <v>0.58571209526590695</v>
      </c>
      <c r="AT85" s="5">
        <v>6.8880338664576796E-2</v>
      </c>
      <c r="AU85" s="5">
        <v>-8.7384433098534997E-2</v>
      </c>
      <c r="AV85" s="5">
        <v>-0.334492178019478</v>
      </c>
      <c r="AW85" s="5">
        <v>0.59113532590483098</v>
      </c>
      <c r="AX85" s="5">
        <v>-0.44707778480289301</v>
      </c>
      <c r="AY85" s="5">
        <v>0.72923409688639396</v>
      </c>
      <c r="AZ85" s="5">
        <v>-0.54053363237879004</v>
      </c>
      <c r="BA85" s="5">
        <v>0.62843517143705996</v>
      </c>
      <c r="BB85" s="5">
        <v>-0.1132383512285</v>
      </c>
      <c r="BC85" s="5">
        <v>0.27312713011343698</v>
      </c>
      <c r="BD85" s="5">
        <v>-2.0224178608994E-2</v>
      </c>
      <c r="BE85" s="5">
        <v>4.1281472665785799E-3</v>
      </c>
      <c r="BF85" s="5">
        <v>-0.37151060033982702</v>
      </c>
      <c r="BG85" s="5">
        <v>0.50220534522930804</v>
      </c>
      <c r="BH85" s="5">
        <v>-0.36272949138670502</v>
      </c>
      <c r="BI85" s="5">
        <v>0.61305207649317806</v>
      </c>
      <c r="BJ85" s="5">
        <v>6.4720185300429597E-2</v>
      </c>
      <c r="BK85" s="5">
        <v>-0.14837377911286501</v>
      </c>
      <c r="BL85" s="5">
        <v>-0.117095492255505</v>
      </c>
      <c r="BM85" s="5">
        <v>0.13847990627024601</v>
      </c>
      <c r="BN85" s="5">
        <v>9.0167525098508894E-2</v>
      </c>
      <c r="BO85" s="5">
        <v>-0.15758708956718101</v>
      </c>
      <c r="BP85" s="5">
        <v>0.17488176185436399</v>
      </c>
      <c r="BQ85" s="5">
        <v>-0.34525688063834697</v>
      </c>
      <c r="BR85" s="5">
        <v>-0.37963001764288901</v>
      </c>
      <c r="BS85" s="5">
        <v>0.63243381802475795</v>
      </c>
      <c r="BT85" s="5">
        <v>-0.34379093296570401</v>
      </c>
      <c r="BU85" s="5">
        <v>0.62158544267800597</v>
      </c>
      <c r="BV85" s="5">
        <v>-0.27482812599592299</v>
      </c>
      <c r="BW85" s="5">
        <v>0.50181639024998503</v>
      </c>
      <c r="BX85" s="5">
        <v>-0.242631895942648</v>
      </c>
      <c r="BY85" s="5">
        <v>0.50967040012387199</v>
      </c>
      <c r="BZ85" s="5">
        <v>-0.35259782838981801</v>
      </c>
      <c r="CA85" s="5">
        <v>0.60380944622221</v>
      </c>
      <c r="CB85" s="5">
        <v>-0.27363986434889198</v>
      </c>
      <c r="CC85" s="5">
        <v>0.41717026803435697</v>
      </c>
      <c r="CD85" s="5">
        <v>-0.170908376024234</v>
      </c>
      <c r="CE85" s="5">
        <v>0.262925288115397</v>
      </c>
      <c r="CF85" s="5">
        <v>-0.86675598850928104</v>
      </c>
      <c r="CG85" s="5">
        <v>1</v>
      </c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</row>
    <row r="86" spans="1:389" x14ac:dyDescent="0.45">
      <c r="A86" s="4" t="str">
        <f ca="1">"CUB / beta1dist in "&amp;CELL("address",'damages-1990'!$J$44)</f>
        <v>CUB / beta1dist in '[BHM betas v3pd.xlsx]damages-1990'!$J$44</v>
      </c>
      <c r="B86" s="6">
        <v>-4.7355048258298102E-2</v>
      </c>
      <c r="C86" s="5">
        <v>0.48278406588739298</v>
      </c>
      <c r="D86" s="5">
        <v>0.26832558996023098</v>
      </c>
      <c r="E86" s="5">
        <v>0.165830941556418</v>
      </c>
      <c r="F86" s="5">
        <v>9.1451089956523304E-2</v>
      </c>
      <c r="G86" s="5">
        <v>8.3305735878699994E-2</v>
      </c>
      <c r="H86" s="5">
        <v>-9.2679737774163606E-2</v>
      </c>
      <c r="I86" s="5">
        <v>3.9760200251832203E-2</v>
      </c>
      <c r="J86" s="5">
        <v>0.21953678307683999</v>
      </c>
      <c r="K86" s="5">
        <v>0.20110282574388899</v>
      </c>
      <c r="L86" s="5">
        <v>0.20679265346028</v>
      </c>
      <c r="M86" s="5">
        <v>9.79469646733616E-2</v>
      </c>
      <c r="N86" s="5">
        <v>8.0434132643407805E-2</v>
      </c>
      <c r="O86" s="5">
        <v>-0.190361299522466</v>
      </c>
      <c r="P86" s="5">
        <v>-2.5160485791349899E-2</v>
      </c>
      <c r="Q86" s="5">
        <v>0.27559851655643097</v>
      </c>
      <c r="R86" s="5">
        <v>0.39691178553755002</v>
      </c>
      <c r="S86" s="5">
        <v>1.0358111394163601E-2</v>
      </c>
      <c r="T86" s="5">
        <v>-0.19760771398838201</v>
      </c>
      <c r="U86" s="5">
        <v>0.20798346277857199</v>
      </c>
      <c r="V86" s="5">
        <v>5.0602134631743401E-2</v>
      </c>
      <c r="W86" s="5">
        <v>0.301512768773263</v>
      </c>
      <c r="X86" s="5">
        <v>0.31043752276429198</v>
      </c>
      <c r="Y86" s="5">
        <v>6.3451572741052106E-2</v>
      </c>
      <c r="Z86" s="5">
        <v>-4.3058036341789799E-2</v>
      </c>
      <c r="AA86" s="5">
        <v>0.124919616544792</v>
      </c>
      <c r="AB86" s="5">
        <v>0.19424252039920401</v>
      </c>
      <c r="AC86" s="5">
        <v>0.17485244693513999</v>
      </c>
      <c r="AD86" s="5">
        <v>8.2099149644119102E-2</v>
      </c>
      <c r="AE86" s="5">
        <v>0.27934244633836203</v>
      </c>
      <c r="AF86" s="5">
        <v>0.102176971706762</v>
      </c>
      <c r="AG86" s="5">
        <v>0.25601449818267402</v>
      </c>
      <c r="AH86" s="5">
        <v>5.0002400659959201E-3</v>
      </c>
      <c r="AI86" s="5">
        <v>0.138394356657568</v>
      </c>
      <c r="AJ86" s="5">
        <v>0.22985745680525899</v>
      </c>
      <c r="AK86" s="5">
        <v>0.199700830426705</v>
      </c>
      <c r="AL86" s="5">
        <v>0.84103456709976199</v>
      </c>
      <c r="AM86" s="5">
        <v>-0.75490464862003404</v>
      </c>
      <c r="AN86" s="5">
        <v>-6.8549303881509399E-2</v>
      </c>
      <c r="AO86" s="5">
        <v>0.15119793813919299</v>
      </c>
      <c r="AP86" s="5">
        <v>-0.34423230881904499</v>
      </c>
      <c r="AQ86" s="5">
        <v>0.37386136533949899</v>
      </c>
      <c r="AR86" s="5">
        <v>0.63548979393546401</v>
      </c>
      <c r="AS86" s="5">
        <v>-0.41279885980136</v>
      </c>
      <c r="AT86" s="5">
        <v>0.53788065813629105</v>
      </c>
      <c r="AU86" s="5">
        <v>-0.36981426469326001</v>
      </c>
      <c r="AV86" s="5">
        <v>0.401205779168328</v>
      </c>
      <c r="AW86" s="5">
        <v>-1.21180112756483E-4</v>
      </c>
      <c r="AX86" s="5">
        <v>0.441790694563649</v>
      </c>
      <c r="AY86" s="5">
        <v>-0.105820659993126</v>
      </c>
      <c r="AZ86" s="5">
        <v>-3.8395020105229397E-2</v>
      </c>
      <c r="BA86" s="5">
        <v>0.28102739337467803</v>
      </c>
      <c r="BB86" s="5">
        <v>0.285346327568472</v>
      </c>
      <c r="BC86" s="5">
        <v>0.196285869218121</v>
      </c>
      <c r="BD86" s="5">
        <v>-3.0611983215770602E-2</v>
      </c>
      <c r="BE86" s="5">
        <v>0.36489093230189801</v>
      </c>
      <c r="BF86" s="5">
        <v>0.18401058245121801</v>
      </c>
      <c r="BG86" s="5">
        <v>0.19168066389970101</v>
      </c>
      <c r="BH86" s="5">
        <v>0.271810078293799</v>
      </c>
      <c r="BI86" s="5">
        <v>0.15621592876875201</v>
      </c>
      <c r="BJ86" s="5">
        <v>-0.23147665992487601</v>
      </c>
      <c r="BK86" s="5">
        <v>1.51719708360681E-2</v>
      </c>
      <c r="BL86" s="5">
        <v>-0.14638229929909</v>
      </c>
      <c r="BM86" s="5">
        <v>0.123065250253099</v>
      </c>
      <c r="BN86" s="5">
        <v>-0.114820258047031</v>
      </c>
      <c r="BO86" s="5">
        <v>0.12891145817996699</v>
      </c>
      <c r="BP86" s="5">
        <v>-0.14421421436425</v>
      </c>
      <c r="BQ86" s="5">
        <v>0.16486984213818101</v>
      </c>
      <c r="BR86" s="5">
        <v>0.19997841945565101</v>
      </c>
      <c r="BS86" s="5">
        <v>0.14258415407379399</v>
      </c>
      <c r="BT86" s="5">
        <v>0.35919078687091899</v>
      </c>
      <c r="BU86" s="5">
        <v>7.6229712652951906E-2</v>
      </c>
      <c r="BV86" s="5">
        <v>0.38207589552886401</v>
      </c>
      <c r="BW86" s="5">
        <v>1.11327981210027E-2</v>
      </c>
      <c r="BX86" s="5">
        <v>0.37648340964448901</v>
      </c>
      <c r="BY86" s="5">
        <v>-3.6937488591981302E-2</v>
      </c>
      <c r="BZ86" s="5">
        <v>0.386152791603874</v>
      </c>
      <c r="CA86" s="5">
        <v>-3.2564960582125997E-2</v>
      </c>
      <c r="CB86" s="5">
        <v>0.60402837305956103</v>
      </c>
      <c r="CC86" s="5">
        <v>-0.34296376563172898</v>
      </c>
      <c r="CD86" s="5">
        <v>1.22519147990112E-2</v>
      </c>
      <c r="CE86" s="5">
        <v>0.31152770502815802</v>
      </c>
      <c r="CF86" s="5">
        <v>0.314196806095</v>
      </c>
      <c r="CG86" s="5">
        <v>-8.1462844953619398E-2</v>
      </c>
      <c r="CH86" s="5">
        <v>1</v>
      </c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</row>
    <row r="87" spans="1:389" x14ac:dyDescent="0.45">
      <c r="A87" s="4" t="str">
        <f ca="1">"CUB / beta2dist in "&amp;CELL("address",'damages-1990'!$K$44)</f>
        <v>CUB / beta2dist in '[BHM betas v3pd.xlsx]damages-1990'!$K$44</v>
      </c>
      <c r="B87" s="6">
        <v>0.14164696907742699</v>
      </c>
      <c r="C87" s="5">
        <v>-0.376918704142228</v>
      </c>
      <c r="D87" s="5">
        <v>-9.0828934689535498E-2</v>
      </c>
      <c r="E87" s="5">
        <v>-0.109068195196238</v>
      </c>
      <c r="F87" s="5">
        <v>-3.21919386385634E-2</v>
      </c>
      <c r="G87" s="5">
        <v>-1.03825435644542E-3</v>
      </c>
      <c r="H87" s="5">
        <v>3.7445040574128903E-2</v>
      </c>
      <c r="I87" s="5">
        <v>-1.5114363720954401E-2</v>
      </c>
      <c r="J87" s="5">
        <v>-4.3346481952876499E-2</v>
      </c>
      <c r="K87" s="5">
        <v>-0.1567665241008</v>
      </c>
      <c r="L87" s="5">
        <v>-6.5271182213759299E-2</v>
      </c>
      <c r="M87" s="5">
        <v>-3.5847165979438399E-2</v>
      </c>
      <c r="N87" s="5">
        <v>-0.13569117622967</v>
      </c>
      <c r="O87" s="5">
        <v>0.25565627359869503</v>
      </c>
      <c r="P87" s="5">
        <v>0.101014740024771</v>
      </c>
      <c r="Q87" s="5">
        <v>-0.22330789969946599</v>
      </c>
      <c r="R87" s="5">
        <v>-0.18216952917790799</v>
      </c>
      <c r="S87" s="5">
        <v>-1.46048839076013E-2</v>
      </c>
      <c r="T87" s="5">
        <v>0.146404414786166</v>
      </c>
      <c r="U87" s="5">
        <v>-0.16604329588665301</v>
      </c>
      <c r="V87" s="5">
        <v>7.3662433087478399E-2</v>
      </c>
      <c r="W87" s="5">
        <v>-0.24842437373478801</v>
      </c>
      <c r="X87" s="5">
        <v>-0.14575843580563999</v>
      </c>
      <c r="Y87" s="5">
        <v>9.4687004565135698E-4</v>
      </c>
      <c r="Z87" s="5">
        <v>2.7289027148205199E-2</v>
      </c>
      <c r="AA87" s="5">
        <v>-5.7448363455843698E-2</v>
      </c>
      <c r="AB87" s="5">
        <v>-7.6920440202891099E-2</v>
      </c>
      <c r="AC87" s="5">
        <v>-0.10493572024489101</v>
      </c>
      <c r="AD87" s="5">
        <v>2.7467076230508401E-2</v>
      </c>
      <c r="AE87" s="5">
        <v>-0.19045870234930101</v>
      </c>
      <c r="AF87" s="5">
        <v>5.47427645176859E-2</v>
      </c>
      <c r="AG87" s="5">
        <v>-0.23031438800034701</v>
      </c>
      <c r="AH87" s="5">
        <v>2.8282039121862501E-2</v>
      </c>
      <c r="AI87" s="5">
        <v>-5.6600233563689699E-2</v>
      </c>
      <c r="AJ87" s="5">
        <v>-9.1602644250589393E-2</v>
      </c>
      <c r="AK87" s="5">
        <v>-0.13257217794040899</v>
      </c>
      <c r="AL87" s="5">
        <v>-0.74776276091847604</v>
      </c>
      <c r="AM87" s="5">
        <v>0.81580758755938598</v>
      </c>
      <c r="AN87" s="5">
        <v>5.5491862694050001E-2</v>
      </c>
      <c r="AO87" s="5">
        <v>-7.6203847714237799E-2</v>
      </c>
      <c r="AP87" s="5">
        <v>0.26734525355933197</v>
      </c>
      <c r="AQ87" s="5">
        <v>-0.30038180673956599</v>
      </c>
      <c r="AR87" s="5">
        <v>-0.53554463256501394</v>
      </c>
      <c r="AS87" s="5">
        <v>0.51162941850437604</v>
      </c>
      <c r="AT87" s="5">
        <v>-0.43375520147218899</v>
      </c>
      <c r="AU87" s="5">
        <v>0.39417875414131698</v>
      </c>
      <c r="AV87" s="5">
        <v>-0.203357999359394</v>
      </c>
      <c r="AW87" s="5">
        <v>3.5031156307653098E-2</v>
      </c>
      <c r="AX87" s="5">
        <v>-0.25511788728783502</v>
      </c>
      <c r="AY87" s="5">
        <v>0.16189362175487501</v>
      </c>
      <c r="AZ87" s="5">
        <v>0.14233233293637401</v>
      </c>
      <c r="BA87" s="5">
        <v>-0.25897128349819298</v>
      </c>
      <c r="BB87" s="5">
        <v>-8.1152456685436802E-2</v>
      </c>
      <c r="BC87" s="5">
        <v>-0.180356833446737</v>
      </c>
      <c r="BD87" s="5">
        <v>5.5846997279775497E-2</v>
      </c>
      <c r="BE87" s="5">
        <v>-0.205668460401428</v>
      </c>
      <c r="BF87" s="5">
        <v>-5.93053201089042E-2</v>
      </c>
      <c r="BG87" s="5">
        <v>-0.13943623379578901</v>
      </c>
      <c r="BH87" s="5">
        <v>-0.10821351074706299</v>
      </c>
      <c r="BI87" s="5">
        <v>-9.4207571313367197E-2</v>
      </c>
      <c r="BJ87" s="5">
        <v>4.53938021161834E-2</v>
      </c>
      <c r="BK87" s="5">
        <v>7.64773237969536E-2</v>
      </c>
      <c r="BL87" s="5">
        <v>8.2491159228879798E-2</v>
      </c>
      <c r="BM87" s="5">
        <v>-8.1993917758165197E-2</v>
      </c>
      <c r="BN87" s="5">
        <v>7.67502444257218E-2</v>
      </c>
      <c r="BO87" s="5">
        <v>-5.50343865546256E-2</v>
      </c>
      <c r="BP87" s="5">
        <v>7.2912670518953407E-2</v>
      </c>
      <c r="BQ87" s="5">
        <v>-5.8569390900731301E-2</v>
      </c>
      <c r="BR87" s="5">
        <v>-0.112247089623755</v>
      </c>
      <c r="BS87" s="5">
        <v>-3.4620353934465498E-2</v>
      </c>
      <c r="BT87" s="5">
        <v>-0.19211428135524</v>
      </c>
      <c r="BU87" s="5">
        <v>-4.1139969800006596E-3</v>
      </c>
      <c r="BV87" s="5">
        <v>-0.232191040824554</v>
      </c>
      <c r="BW87" s="5">
        <v>8.0569653032285096E-2</v>
      </c>
      <c r="BX87" s="5">
        <v>-0.223739732175572</v>
      </c>
      <c r="BY87" s="5">
        <v>0.10797597870787801</v>
      </c>
      <c r="BZ87" s="5">
        <v>-0.222266066346098</v>
      </c>
      <c r="CA87" s="5">
        <v>8.6832387795298199E-2</v>
      </c>
      <c r="CB87" s="5">
        <v>-0.52794659167211599</v>
      </c>
      <c r="CC87" s="5">
        <v>0.42162059125683399</v>
      </c>
      <c r="CD87" s="5">
        <v>0.11958900596859801</v>
      </c>
      <c r="CE87" s="5">
        <v>-0.34055667241368298</v>
      </c>
      <c r="CF87" s="5">
        <v>-0.235558895656173</v>
      </c>
      <c r="CG87" s="5">
        <v>0.15572803966360399</v>
      </c>
      <c r="CH87" s="5">
        <v>-0.87355906646454395</v>
      </c>
      <c r="CI87" s="5">
        <v>1</v>
      </c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</row>
    <row r="88" spans="1:389" x14ac:dyDescent="0.45">
      <c r="A88" s="4" t="str">
        <f ca="1">"CYP / beta1dist in "&amp;CELL("address",'damages-1990'!$J$45)</f>
        <v>CYP / beta1dist in '[BHM betas v3pd.xlsx]damages-1990'!$J$45</v>
      </c>
      <c r="B88" s="6">
        <v>0.29191087508874702</v>
      </c>
      <c r="C88" s="5">
        <v>3.6000280472384502E-2</v>
      </c>
      <c r="D88" s="5">
        <v>2.62347902879289E-2</v>
      </c>
      <c r="E88" s="5">
        <v>0.22134070040145001</v>
      </c>
      <c r="F88" s="5">
        <v>0.299782694982832</v>
      </c>
      <c r="G88" s="5">
        <v>-7.5460309452016303E-2</v>
      </c>
      <c r="H88" s="5">
        <v>-0.11982114313334399</v>
      </c>
      <c r="I88" s="5">
        <v>0.20276461169424401</v>
      </c>
      <c r="J88" s="5">
        <v>0.32147057315786298</v>
      </c>
      <c r="K88" s="5">
        <v>-9.0771424578322907E-2</v>
      </c>
      <c r="L88" s="5">
        <v>0.22310746727403499</v>
      </c>
      <c r="M88" s="5">
        <v>6.7612521658038896E-2</v>
      </c>
      <c r="N88" s="5">
        <v>-0.14933242138913699</v>
      </c>
      <c r="O88" s="5">
        <v>0.323225162354221</v>
      </c>
      <c r="P88" s="5">
        <v>2.5324844197211101E-2</v>
      </c>
      <c r="Q88" s="5">
        <v>9.6993219581333195E-2</v>
      </c>
      <c r="R88" s="5">
        <v>0.33233988230631201</v>
      </c>
      <c r="S88" s="5">
        <v>-9.4147966059244401E-2</v>
      </c>
      <c r="T88" s="5">
        <v>-0.271415638202191</v>
      </c>
      <c r="U88" s="5">
        <v>0.38939160495591302</v>
      </c>
      <c r="V88" s="5">
        <v>0.34288928856398299</v>
      </c>
      <c r="W88" s="5">
        <v>-1.05182813967757E-2</v>
      </c>
      <c r="X88" s="5">
        <v>0.16637055079089499</v>
      </c>
      <c r="Y88" s="5">
        <v>0.11076268080909001</v>
      </c>
      <c r="Z88" s="5">
        <v>-9.0668192982656595E-5</v>
      </c>
      <c r="AA88" s="5">
        <v>0.20720404168504999</v>
      </c>
      <c r="AB88" s="5">
        <v>5.7184716748277901E-2</v>
      </c>
      <c r="AC88" s="5">
        <v>7.6129904467047205E-2</v>
      </c>
      <c r="AD88" s="5">
        <v>0.121493864977388</v>
      </c>
      <c r="AE88" s="5">
        <v>2.2990633476457099E-2</v>
      </c>
      <c r="AF88" s="5">
        <v>0.24484275821684501</v>
      </c>
      <c r="AG88" s="5">
        <v>-2.0814888330915701E-2</v>
      </c>
      <c r="AH88" s="5">
        <v>0.165219726464088</v>
      </c>
      <c r="AI88" s="5">
        <v>7.0190473029151296E-2</v>
      </c>
      <c r="AJ88" s="5">
        <v>0.40890089005316999</v>
      </c>
      <c r="AK88" s="5">
        <v>-0.157305730985102</v>
      </c>
      <c r="AL88" s="5">
        <v>0.18579393321798801</v>
      </c>
      <c r="AM88" s="5">
        <v>-4.5011065429925397E-2</v>
      </c>
      <c r="AN88" s="5">
        <v>-5.9141431773898703E-2</v>
      </c>
      <c r="AO88" s="5">
        <v>0.26604207516630002</v>
      </c>
      <c r="AP88" s="5">
        <v>-9.1359552250873499E-2</v>
      </c>
      <c r="AQ88" s="5">
        <v>0.144776392818391</v>
      </c>
      <c r="AR88" s="5">
        <v>0.18174603358076399</v>
      </c>
      <c r="AS88" s="5">
        <v>-1.7220172036742601E-2</v>
      </c>
      <c r="AT88" s="5">
        <v>8.3810739707186499E-2</v>
      </c>
      <c r="AU88" s="5">
        <v>8.9180098931805799E-2</v>
      </c>
      <c r="AV88" s="5">
        <v>0.33058930946923398</v>
      </c>
      <c r="AW88" s="5">
        <v>-0.116355326653927</v>
      </c>
      <c r="AX88" s="5">
        <v>0.23557164726136001</v>
      </c>
      <c r="AY88" s="5">
        <v>8.4570285983493303E-3</v>
      </c>
      <c r="AZ88" s="5">
        <v>-3.3369151592470003E-2</v>
      </c>
      <c r="BA88" s="5">
        <v>0.14681916429519501</v>
      </c>
      <c r="BB88" s="5">
        <v>0.24027933811791399</v>
      </c>
      <c r="BC88" s="5">
        <v>-1.74592919449044E-2</v>
      </c>
      <c r="BD88" s="5">
        <v>0.18448612032224199</v>
      </c>
      <c r="BE88" s="5">
        <v>0.131247924530286</v>
      </c>
      <c r="BF88" s="5">
        <v>-8.4980417095171804E-2</v>
      </c>
      <c r="BG88" s="5">
        <v>0.33618669932057899</v>
      </c>
      <c r="BH88" s="5">
        <v>0.156857768519782</v>
      </c>
      <c r="BI88" s="5">
        <v>4.4402184512217398E-2</v>
      </c>
      <c r="BJ88" s="5">
        <v>-0.247544478123809</v>
      </c>
      <c r="BK88" s="5">
        <v>0.23580810746640801</v>
      </c>
      <c r="BL88" s="5">
        <v>-0.25659479245993899</v>
      </c>
      <c r="BM88" s="5">
        <v>0.37037439880169798</v>
      </c>
      <c r="BN88" s="5">
        <v>0.23682294158088901</v>
      </c>
      <c r="BO88" s="5">
        <v>-0.107975950974333</v>
      </c>
      <c r="BP88" s="5">
        <v>1.5631247578223002E-2</v>
      </c>
      <c r="BQ88" s="5">
        <v>0.13664592941393799</v>
      </c>
      <c r="BR88" s="5">
        <v>0.11125961610542801</v>
      </c>
      <c r="BS88" s="5">
        <v>4.9169636847529598E-2</v>
      </c>
      <c r="BT88" s="5">
        <v>0.27153087725143599</v>
      </c>
      <c r="BU88" s="5">
        <v>-6.3564565341822102E-2</v>
      </c>
      <c r="BV88" s="5">
        <v>0.18987134131130601</v>
      </c>
      <c r="BW88" s="5">
        <v>2.1622166830364602E-2</v>
      </c>
      <c r="BX88" s="5">
        <v>0.14983066254493599</v>
      </c>
      <c r="BY88" s="5">
        <v>1.4404599141117301E-2</v>
      </c>
      <c r="BZ88" s="5">
        <v>0.19034093095242899</v>
      </c>
      <c r="CA88" s="5">
        <v>2.5222951709929901E-3</v>
      </c>
      <c r="CB88" s="5">
        <v>0.17249327588299701</v>
      </c>
      <c r="CC88" s="5">
        <v>-7.2612403152882601E-2</v>
      </c>
      <c r="CD88" s="5">
        <v>-4.7369770053661699E-2</v>
      </c>
      <c r="CE88" s="5">
        <v>0.21103575615180201</v>
      </c>
      <c r="CF88" s="5">
        <v>5.5806015734839197E-2</v>
      </c>
      <c r="CG88" s="5">
        <v>3.5720644459299997E-2</v>
      </c>
      <c r="CH88" s="5">
        <v>0.16483039696204199</v>
      </c>
      <c r="CI88" s="5">
        <v>-3.35505749108077E-2</v>
      </c>
      <c r="CJ88" s="5">
        <v>1</v>
      </c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</row>
    <row r="89" spans="1:389" x14ac:dyDescent="0.45">
      <c r="A89" s="4" t="str">
        <f ca="1">"CYP / beta2dist in "&amp;CELL("address",'damages-1990'!$K$45)</f>
        <v>CYP / beta2dist in '[BHM betas v3pd.xlsx]damages-1990'!$K$45</v>
      </c>
      <c r="B89" s="6">
        <v>-0.104713970505399</v>
      </c>
      <c r="C89" s="5">
        <v>0.12364165733103</v>
      </c>
      <c r="D89" s="5">
        <v>0.22901403979139501</v>
      </c>
      <c r="E89" s="5">
        <v>-0.19047088043409199</v>
      </c>
      <c r="F89" s="5">
        <v>-0.16913265454522999</v>
      </c>
      <c r="G89" s="5">
        <v>0.230072160683468</v>
      </c>
      <c r="H89" s="5">
        <v>9.3896908546315001E-3</v>
      </c>
      <c r="I89" s="5">
        <v>-8.8576304601360498E-2</v>
      </c>
      <c r="J89" s="5">
        <v>-7.4369071282659904E-2</v>
      </c>
      <c r="K89" s="5">
        <v>0.15422732225879901</v>
      </c>
      <c r="L89" s="5">
        <v>5.49042165436818E-2</v>
      </c>
      <c r="M89" s="5">
        <v>-4.4662079694434101E-2</v>
      </c>
      <c r="N89" s="5">
        <v>0.23713512975843401</v>
      </c>
      <c r="O89" s="5">
        <v>-0.39540672420512002</v>
      </c>
      <c r="P89" s="5">
        <v>0.16592242037107499</v>
      </c>
      <c r="Q89" s="5">
        <v>-0.12941071618071201</v>
      </c>
      <c r="R89" s="5">
        <v>-0.100212998452417</v>
      </c>
      <c r="S89" s="5">
        <v>0.168815122272233</v>
      </c>
      <c r="T89" s="5">
        <v>0.27920419174138</v>
      </c>
      <c r="U89" s="5">
        <v>-0.36726224268886598</v>
      </c>
      <c r="V89" s="5">
        <v>-0.147757845332744</v>
      </c>
      <c r="W89" s="5">
        <v>0.14565041604839701</v>
      </c>
      <c r="X89" s="5">
        <v>8.7663775816543499E-2</v>
      </c>
      <c r="Y89" s="5">
        <v>-7.2607562848798601E-2</v>
      </c>
      <c r="Z89" s="5">
        <v>5.87449029718679E-2</v>
      </c>
      <c r="AA89" s="5">
        <v>-0.124941160435737</v>
      </c>
      <c r="AB89" s="5">
        <v>9.5879594059084E-2</v>
      </c>
      <c r="AC89" s="5">
        <v>-4.7631271234706403E-2</v>
      </c>
      <c r="AD89" s="5">
        <v>-1.2785474723891899E-2</v>
      </c>
      <c r="AE89" s="5">
        <v>6.0059461073088599E-2</v>
      </c>
      <c r="AF89" s="5">
        <v>0.10966264352673399</v>
      </c>
      <c r="AG89" s="5">
        <v>-0.11499397162501999</v>
      </c>
      <c r="AH89" s="5">
        <v>-7.4023979239450102E-2</v>
      </c>
      <c r="AI89" s="5">
        <v>7.54635153086258E-2</v>
      </c>
      <c r="AJ89" s="5">
        <v>-0.18135965860785799</v>
      </c>
      <c r="AK89" s="5">
        <v>0.24559737372292001</v>
      </c>
      <c r="AL89" s="5">
        <v>5.0534047574611503E-2</v>
      </c>
      <c r="AM89" s="5">
        <v>-2.14240651981202E-2</v>
      </c>
      <c r="AN89" s="5">
        <v>0.15169016827564599</v>
      </c>
      <c r="AO89" s="5">
        <v>-0.22262450337172701</v>
      </c>
      <c r="AP89" s="5">
        <v>-3.0747473728052602E-2</v>
      </c>
      <c r="AQ89" s="5">
        <v>2.5422018999681901E-2</v>
      </c>
      <c r="AR89" s="5">
        <v>0.110222199020665</v>
      </c>
      <c r="AS89" s="5">
        <v>-5.6298001838822102E-2</v>
      </c>
      <c r="AT89" s="5">
        <v>0.15518261404046699</v>
      </c>
      <c r="AU89" s="5">
        <v>-0.17761106651421299</v>
      </c>
      <c r="AV89" s="5">
        <v>-2.0859048970150701E-2</v>
      </c>
      <c r="AW89" s="5">
        <v>9.85908787071684E-2</v>
      </c>
      <c r="AX89" s="5">
        <v>6.5959589233109003E-2</v>
      </c>
      <c r="AY89" s="5">
        <v>-3.9504782204850597E-2</v>
      </c>
      <c r="AZ89" s="5">
        <v>0.24974379644820499</v>
      </c>
      <c r="BA89" s="5">
        <v>-0.21087259806632599</v>
      </c>
      <c r="BB89" s="5">
        <v>-7.1027735264837397E-2</v>
      </c>
      <c r="BC89" s="5">
        <v>0.12876712214741301</v>
      </c>
      <c r="BD89" s="5">
        <v>-7.7824440531295905E-2</v>
      </c>
      <c r="BE89" s="5">
        <v>9.5834631322695693E-2</v>
      </c>
      <c r="BF89" s="5">
        <v>0.33648339497505803</v>
      </c>
      <c r="BG89" s="5">
        <v>-0.35443742321295302</v>
      </c>
      <c r="BH89" s="5">
        <v>0.106490181395188</v>
      </c>
      <c r="BI89" s="5">
        <v>-5.5929697785837999E-2</v>
      </c>
      <c r="BJ89" s="5">
        <v>0.14974920320597099</v>
      </c>
      <c r="BK89" s="5">
        <v>-0.281027492877232</v>
      </c>
      <c r="BL89" s="5">
        <v>0.229957712189019</v>
      </c>
      <c r="BM89" s="5">
        <v>-0.33391385791379902</v>
      </c>
      <c r="BN89" s="5">
        <v>-0.18113302960045299</v>
      </c>
      <c r="BO89" s="5">
        <v>0.173103948132761</v>
      </c>
      <c r="BP89" s="5">
        <v>-9.7374411805304803E-2</v>
      </c>
      <c r="BQ89" s="5">
        <v>9.7991194684480698E-2</v>
      </c>
      <c r="BR89" s="5">
        <v>-1.76926529837651E-2</v>
      </c>
      <c r="BS89" s="5">
        <v>3.54557349894438E-2</v>
      </c>
      <c r="BT89" s="5">
        <v>-1.79558740859493E-2</v>
      </c>
      <c r="BU89" s="5">
        <v>8.5896679084795299E-2</v>
      </c>
      <c r="BV89" s="5">
        <v>8.7521398518731596E-3</v>
      </c>
      <c r="BW89" s="5">
        <v>5.27176449983386E-2</v>
      </c>
      <c r="BX89" s="5">
        <v>2.9429278057691802E-4</v>
      </c>
      <c r="BY89" s="5">
        <v>6.6094089671293196E-2</v>
      </c>
      <c r="BZ89" s="5">
        <v>1.0250535241672101E-2</v>
      </c>
      <c r="CA89" s="5">
        <v>3.2609822295169399E-2</v>
      </c>
      <c r="CB89" s="5">
        <v>-1.80947298222781E-2</v>
      </c>
      <c r="CC89" s="5">
        <v>0.11194736736713901</v>
      </c>
      <c r="CD89" s="5">
        <v>0.19413230949455401</v>
      </c>
      <c r="CE89" s="5">
        <v>-0.20720980621833501</v>
      </c>
      <c r="CF89" s="5">
        <v>0.19430147517870699</v>
      </c>
      <c r="CG89" s="5">
        <v>-0.11583842611525599</v>
      </c>
      <c r="CH89" s="5">
        <v>8.2431796256929604E-2</v>
      </c>
      <c r="CI89" s="5">
        <v>-7.5053500255214595E-2</v>
      </c>
      <c r="CJ89" s="5">
        <v>-0.84076431363122806</v>
      </c>
      <c r="CK89" s="5">
        <v>1</v>
      </c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</row>
    <row r="90" spans="1:389" x14ac:dyDescent="0.45">
      <c r="A90" s="4" t="str">
        <f ca="1">"CZE / beta1dist in "&amp;CELL("address",'damages-1990'!$J$46)</f>
        <v>CZE / beta1dist in '[BHM betas v3pd.xlsx]damages-1990'!$J$46</v>
      </c>
      <c r="B90" s="6">
        <v>0.32305193336309801</v>
      </c>
      <c r="C90" s="5">
        <v>-0.18279920703382699</v>
      </c>
      <c r="D90" s="5">
        <v>0.16680563383580299</v>
      </c>
      <c r="E90" s="5">
        <v>-0.24348598411360201</v>
      </c>
      <c r="F90" s="5">
        <v>0.56803847553495002</v>
      </c>
      <c r="G90" s="5">
        <v>-0.48452708046166598</v>
      </c>
      <c r="H90" s="5">
        <v>0.62249887627793499</v>
      </c>
      <c r="I90" s="5">
        <v>-0.46902390019384199</v>
      </c>
      <c r="J90" s="5">
        <v>-6.7982811149048E-2</v>
      </c>
      <c r="K90" s="5">
        <v>-4.6673046485987899E-2</v>
      </c>
      <c r="L90" s="5">
        <v>0.176018515025677</v>
      </c>
      <c r="M90" s="5">
        <v>-2.5361045289102001E-2</v>
      </c>
      <c r="N90" s="5">
        <v>0.45851719701786903</v>
      </c>
      <c r="O90" s="5">
        <v>-0.25743012286023997</v>
      </c>
      <c r="P90" s="5">
        <v>0.138433720185552</v>
      </c>
      <c r="Q90" s="5">
        <v>-0.226869449800634</v>
      </c>
      <c r="R90" s="5">
        <v>-3.6849630796572899E-2</v>
      </c>
      <c r="S90" s="5">
        <v>-4.1595435129628801E-2</v>
      </c>
      <c r="T90" s="5">
        <v>0.89303275062898302</v>
      </c>
      <c r="U90" s="5">
        <v>-0.77891614729610104</v>
      </c>
      <c r="V90" s="5">
        <v>0.347584189405654</v>
      </c>
      <c r="W90" s="5">
        <v>-0.23870005141039399</v>
      </c>
      <c r="X90" s="5">
        <v>0.16969368800151699</v>
      </c>
      <c r="Y90" s="5">
        <v>-0.209501231929134</v>
      </c>
      <c r="Z90" s="5">
        <v>0.79536640616952703</v>
      </c>
      <c r="AA90" s="5">
        <v>-0.70014533357036002</v>
      </c>
      <c r="AB90" s="5">
        <v>0.14155874026361201</v>
      </c>
      <c r="AC90" s="5">
        <v>-0.16740433140654401</v>
      </c>
      <c r="AD90" s="5">
        <v>0.156262497844149</v>
      </c>
      <c r="AE90" s="5">
        <v>-0.17106294417447199</v>
      </c>
      <c r="AF90" s="5">
        <v>-0.132784012158908</v>
      </c>
      <c r="AG90" s="5">
        <v>2.1362530627484E-2</v>
      </c>
      <c r="AH90" s="5">
        <v>0.64227406143578403</v>
      </c>
      <c r="AI90" s="5">
        <v>-0.56427726235851605</v>
      </c>
      <c r="AJ90" s="5">
        <v>-0.17251079003896</v>
      </c>
      <c r="AK90" s="5">
        <v>3.0632426644984799E-2</v>
      </c>
      <c r="AL90" s="5">
        <v>-0.21377353042991801</v>
      </c>
      <c r="AM90" s="5">
        <v>0.188581189740226</v>
      </c>
      <c r="AN90" s="5">
        <v>0.81679764300964597</v>
      </c>
      <c r="AO90" s="5">
        <v>-0.73468668717905605</v>
      </c>
      <c r="AP90" s="5">
        <v>0.70090028296051099</v>
      </c>
      <c r="AQ90" s="5">
        <v>-0.55636143567910301</v>
      </c>
      <c r="AR90" s="5">
        <v>-8.0289357471898998E-2</v>
      </c>
      <c r="AS90" s="5">
        <v>3.3913033454565302E-3</v>
      </c>
      <c r="AT90" s="5">
        <v>-0.29967135221354202</v>
      </c>
      <c r="AU90" s="5">
        <v>0.27490359384013002</v>
      </c>
      <c r="AV90" s="5">
        <v>-8.1957379854165902E-2</v>
      </c>
      <c r="AW90" s="5">
        <v>-1.72485079871166E-2</v>
      </c>
      <c r="AX90" s="5">
        <v>-9.0855452433413697E-2</v>
      </c>
      <c r="AY90" s="5">
        <v>-7.45676201039744E-2</v>
      </c>
      <c r="AZ90" s="5">
        <v>0.15460418836852599</v>
      </c>
      <c r="BA90" s="5">
        <v>-0.214801864314692</v>
      </c>
      <c r="BB90" s="5">
        <v>8.2993371058777098E-3</v>
      </c>
      <c r="BC90" s="5">
        <v>-0.145293970918318</v>
      </c>
      <c r="BD90" s="5">
        <v>0.50447774841312798</v>
      </c>
      <c r="BE90" s="5">
        <v>-0.35196859408608</v>
      </c>
      <c r="BF90" s="5">
        <v>0.202916240696557</v>
      </c>
      <c r="BG90" s="5">
        <v>-0.319563571713051</v>
      </c>
      <c r="BH90" s="5">
        <v>8.0758324911188895E-2</v>
      </c>
      <c r="BI90" s="5">
        <v>-0.132030490346946</v>
      </c>
      <c r="BJ90" s="5">
        <v>0.55147429786564195</v>
      </c>
      <c r="BK90" s="5">
        <v>-0.29908143094592399</v>
      </c>
      <c r="BL90" s="5">
        <v>0.82414165545670104</v>
      </c>
      <c r="BM90" s="5">
        <v>-0.69699039502846205</v>
      </c>
      <c r="BN90" s="5">
        <v>0.411392041327582</v>
      </c>
      <c r="BO90" s="5">
        <v>-0.14995889480493199</v>
      </c>
      <c r="BP90" s="5">
        <v>0.59187834349443402</v>
      </c>
      <c r="BQ90" s="5">
        <v>-0.39060417465138397</v>
      </c>
      <c r="BR90" s="5">
        <v>0.17038483129061499</v>
      </c>
      <c r="BS90" s="5">
        <v>-0.17692553528876401</v>
      </c>
      <c r="BT90" s="5">
        <v>4.4486163436000398E-2</v>
      </c>
      <c r="BU90" s="5">
        <v>-0.10716123592404</v>
      </c>
      <c r="BV90" s="5">
        <v>6.8612364270160403E-2</v>
      </c>
      <c r="BW90" s="5">
        <v>-0.14256025539239001</v>
      </c>
      <c r="BX90" s="5">
        <v>4.49584507442016E-2</v>
      </c>
      <c r="BY90" s="5">
        <v>-9.8055937686984299E-2</v>
      </c>
      <c r="BZ90" s="5">
        <v>-3.5394942865609E-2</v>
      </c>
      <c r="CA90" s="5">
        <v>-7.4910030963012797E-2</v>
      </c>
      <c r="CB90" s="5">
        <v>-0.106538089129112</v>
      </c>
      <c r="CC90" s="5">
        <v>3.3250715278214403E-2</v>
      </c>
      <c r="CD90" s="5">
        <v>3.0727403496989401E-2</v>
      </c>
      <c r="CE90" s="5">
        <v>-9.11322523191999E-2</v>
      </c>
      <c r="CF90" s="5">
        <v>8.8023320734670194E-6</v>
      </c>
      <c r="CG90" s="5">
        <v>-5.8371478523997399E-2</v>
      </c>
      <c r="CH90" s="5">
        <v>-0.15048740287444801</v>
      </c>
      <c r="CI90" s="5">
        <v>0.119111600032829</v>
      </c>
      <c r="CJ90" s="5">
        <v>-0.17861714064272999</v>
      </c>
      <c r="CK90" s="5">
        <v>0.20118293110909399</v>
      </c>
      <c r="CL90" s="5">
        <v>1</v>
      </c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</row>
    <row r="91" spans="1:389" x14ac:dyDescent="0.45">
      <c r="A91" s="4" t="str">
        <f ca="1">"CZE / beta2dist in "&amp;CELL("address",'damages-1990'!$K$46)</f>
        <v>CZE / beta2dist in '[BHM betas v3pd.xlsx]damages-1990'!$K$46</v>
      </c>
      <c r="B91" s="6">
        <v>-6.20257352620344E-2</v>
      </c>
      <c r="C91" s="5">
        <v>8.7846631334010605E-2</v>
      </c>
      <c r="D91" s="5">
        <v>-0.14901060738264499</v>
      </c>
      <c r="E91" s="5">
        <v>0.295485064117811</v>
      </c>
      <c r="F91" s="5">
        <v>-0.35285725155974701</v>
      </c>
      <c r="G91" s="5">
        <v>0.45691183868513902</v>
      </c>
      <c r="H91" s="5">
        <v>-0.51976774767077505</v>
      </c>
      <c r="I91" s="5">
        <v>0.527056507255523</v>
      </c>
      <c r="J91" s="5">
        <v>0.124722493160954</v>
      </c>
      <c r="K91" s="5">
        <v>2.4629537429598398E-2</v>
      </c>
      <c r="L91" s="5">
        <v>2.1585547623565599E-2</v>
      </c>
      <c r="M91" s="5">
        <v>-3.6467730058915702E-2</v>
      </c>
      <c r="N91" s="5">
        <v>-0.28149552499670599</v>
      </c>
      <c r="O91" s="5">
        <v>0.27103298196294201</v>
      </c>
      <c r="P91" s="5">
        <v>-0.161475912627526</v>
      </c>
      <c r="Q91" s="5">
        <v>0.27548503967753002</v>
      </c>
      <c r="R91" s="5">
        <v>0.13935783895874301</v>
      </c>
      <c r="S91" s="5">
        <v>1.31722257069108E-2</v>
      </c>
      <c r="T91" s="5">
        <v>-0.82275516463557397</v>
      </c>
      <c r="U91" s="5">
        <v>0.88952090297596798</v>
      </c>
      <c r="V91" s="5">
        <v>-0.100520056996276</v>
      </c>
      <c r="W91" s="5">
        <v>0.163377872574855</v>
      </c>
      <c r="X91" s="5">
        <v>-0.121306991842029</v>
      </c>
      <c r="Y91" s="5">
        <v>0.238078400739271</v>
      </c>
      <c r="Z91" s="5">
        <v>-0.65046341227508397</v>
      </c>
      <c r="AA91" s="5">
        <v>0.76104926394418604</v>
      </c>
      <c r="AB91" s="5">
        <v>-0.15309388716587899</v>
      </c>
      <c r="AC91" s="5">
        <v>0.19780533269490999</v>
      </c>
      <c r="AD91" s="5">
        <v>-0.15039114834901199</v>
      </c>
      <c r="AE91" s="5">
        <v>0.19145714199573999</v>
      </c>
      <c r="AF91" s="5">
        <v>0.15783458409876</v>
      </c>
      <c r="AG91" s="5">
        <v>-3.7830928088463602E-3</v>
      </c>
      <c r="AH91" s="5">
        <v>-0.45546739629827698</v>
      </c>
      <c r="AI91" s="5">
        <v>0.57640569153866394</v>
      </c>
      <c r="AJ91" s="5">
        <v>0.24924722671796901</v>
      </c>
      <c r="AK91" s="5">
        <v>-7.3354035733978196E-2</v>
      </c>
      <c r="AL91" s="5">
        <v>0.277692681417544</v>
      </c>
      <c r="AM91" s="5">
        <v>-0.24387989212684399</v>
      </c>
      <c r="AN91" s="5">
        <v>-0.66312291974803905</v>
      </c>
      <c r="AO91" s="5">
        <v>0.79121203853341804</v>
      </c>
      <c r="AP91" s="5">
        <v>-0.59923657240222705</v>
      </c>
      <c r="AQ91" s="5">
        <v>0.619034684701817</v>
      </c>
      <c r="AR91" s="5">
        <v>0.104066363802252</v>
      </c>
      <c r="AS91" s="5">
        <v>8.3559354088366105E-3</v>
      </c>
      <c r="AT91" s="5">
        <v>0.39506449342175998</v>
      </c>
      <c r="AU91" s="5">
        <v>-0.35677405843538001</v>
      </c>
      <c r="AV91" s="5">
        <v>0.17684105905283001</v>
      </c>
      <c r="AW91" s="5">
        <v>-1.74981627708659E-2</v>
      </c>
      <c r="AX91" s="5">
        <v>0.134472434783938</v>
      </c>
      <c r="AY91" s="5">
        <v>7.7175703815340793E-2</v>
      </c>
      <c r="AZ91" s="5">
        <v>-0.17623641007364399</v>
      </c>
      <c r="BA91" s="5">
        <v>0.25700701466105902</v>
      </c>
      <c r="BB91" s="5">
        <v>1.2318651068599E-2</v>
      </c>
      <c r="BC91" s="5">
        <v>0.178818389823971</v>
      </c>
      <c r="BD91" s="5">
        <v>-0.242585003141778</v>
      </c>
      <c r="BE91" s="5">
        <v>0.27378723645514003</v>
      </c>
      <c r="BF91" s="5">
        <v>-0.20402476427584701</v>
      </c>
      <c r="BG91" s="5">
        <v>0.38306466689647201</v>
      </c>
      <c r="BH91" s="5">
        <v>-7.1497096453136205E-2</v>
      </c>
      <c r="BI91" s="5">
        <v>0.165901620820601</v>
      </c>
      <c r="BJ91" s="5">
        <v>-0.48070106520355299</v>
      </c>
      <c r="BK91" s="5">
        <v>0.34752587145666702</v>
      </c>
      <c r="BL91" s="5">
        <v>-0.74526222626542804</v>
      </c>
      <c r="BM91" s="5">
        <v>0.79709209076294296</v>
      </c>
      <c r="BN91" s="5">
        <v>-0.181587761471664</v>
      </c>
      <c r="BO91" s="5">
        <v>0.111443834584231</v>
      </c>
      <c r="BP91" s="5">
        <v>-0.34798907278845598</v>
      </c>
      <c r="BQ91" s="5">
        <v>0.32154733202632402</v>
      </c>
      <c r="BR91" s="5">
        <v>-0.17039378619644399</v>
      </c>
      <c r="BS91" s="5">
        <v>0.206418659378755</v>
      </c>
      <c r="BT91" s="5">
        <v>-4.2764292570506499E-3</v>
      </c>
      <c r="BU91" s="5">
        <v>0.118228264307842</v>
      </c>
      <c r="BV91" s="5">
        <v>-4.4859776285403399E-2</v>
      </c>
      <c r="BW91" s="5">
        <v>0.16446609346464899</v>
      </c>
      <c r="BX91" s="5">
        <v>-3.23302554503309E-2</v>
      </c>
      <c r="BY91" s="5">
        <v>0.12089020447375499</v>
      </c>
      <c r="BZ91" s="5">
        <v>5.8140864794995001E-2</v>
      </c>
      <c r="CA91" s="5">
        <v>8.9872463996059804E-2</v>
      </c>
      <c r="CB91" s="5">
        <v>0.138477189995307</v>
      </c>
      <c r="CC91" s="5">
        <v>-3.8644433716491303E-2</v>
      </c>
      <c r="CD91" s="5">
        <v>1.9376521370153901E-2</v>
      </c>
      <c r="CE91" s="5">
        <v>8.1904744478311003E-2</v>
      </c>
      <c r="CF91" s="5">
        <v>2.8693922235602598E-3</v>
      </c>
      <c r="CG91" s="5">
        <v>7.5178735108901704E-2</v>
      </c>
      <c r="CH91" s="5">
        <v>0.19550135375046401</v>
      </c>
      <c r="CI91" s="5">
        <v>-0.15064542982365201</v>
      </c>
      <c r="CJ91" s="5">
        <v>0.328594630444137</v>
      </c>
      <c r="CK91" s="5">
        <v>-0.27876089769203899</v>
      </c>
      <c r="CL91" s="5">
        <v>-0.90023390068064502</v>
      </c>
      <c r="CM91" s="5">
        <v>1</v>
      </c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</row>
    <row r="92" spans="1:389" x14ac:dyDescent="0.45">
      <c r="A92" s="4" t="str">
        <f ca="1">"DEU / beta1dist in "&amp;CELL("address",'damages-1990'!$J$47)</f>
        <v>DEU / beta1dist in '[BHM betas v3pd.xlsx]damages-1990'!$J$47</v>
      </c>
      <c r="B92" s="6">
        <v>0.37025045817285301</v>
      </c>
      <c r="C92" s="5">
        <v>-0.181124425017511</v>
      </c>
      <c r="D92" s="5">
        <v>0.13551168664812799</v>
      </c>
      <c r="E92" s="5">
        <v>-0.18447630463957199</v>
      </c>
      <c r="F92" s="5">
        <v>0.605145119272125</v>
      </c>
      <c r="G92" s="5">
        <v>-0.48463631359788401</v>
      </c>
      <c r="H92" s="5">
        <v>0.68910343513796002</v>
      </c>
      <c r="I92" s="5">
        <v>-0.52516488272669004</v>
      </c>
      <c r="J92" s="5">
        <v>-6.7236842589458307E-2</v>
      </c>
      <c r="K92" s="5">
        <v>-2.4476897589091301E-2</v>
      </c>
      <c r="L92" s="5">
        <v>0.220747309713791</v>
      </c>
      <c r="M92" s="5">
        <v>-4.0093591416988303E-2</v>
      </c>
      <c r="N92" s="5">
        <v>0.463093565396894</v>
      </c>
      <c r="O92" s="5">
        <v>-0.22132279941841199</v>
      </c>
      <c r="P92" s="5">
        <v>0.106424694761688</v>
      </c>
      <c r="Q92" s="5">
        <v>-0.169112865497168</v>
      </c>
      <c r="R92" s="5">
        <v>1.2260239760709999E-2</v>
      </c>
      <c r="S92" s="5">
        <v>-7.7016142087846795E-2</v>
      </c>
      <c r="T92" s="5">
        <v>0.83111777356438299</v>
      </c>
      <c r="U92" s="5">
        <v>-0.68799583856192303</v>
      </c>
      <c r="V92" s="5">
        <v>0.398285725560933</v>
      </c>
      <c r="W92" s="5">
        <v>-0.23564662577978401</v>
      </c>
      <c r="X92" s="5">
        <v>0.16660473456380301</v>
      </c>
      <c r="Y92" s="5">
        <v>-0.17508174150647299</v>
      </c>
      <c r="Z92" s="5">
        <v>0.87532192610524095</v>
      </c>
      <c r="AA92" s="5">
        <v>-0.76107727425407901</v>
      </c>
      <c r="AB92" s="5">
        <v>0.12741130131679701</v>
      </c>
      <c r="AC92" s="5">
        <v>-0.13269603521661999</v>
      </c>
      <c r="AD92" s="5">
        <v>0.13957632827772901</v>
      </c>
      <c r="AE92" s="5">
        <v>-0.134012775071504</v>
      </c>
      <c r="AF92" s="5">
        <v>-0.14878675554516799</v>
      </c>
      <c r="AG92" s="5">
        <v>5.8257883322831903E-2</v>
      </c>
      <c r="AH92" s="5">
        <v>0.63416697875718797</v>
      </c>
      <c r="AI92" s="5">
        <v>-0.50655012851890802</v>
      </c>
      <c r="AJ92" s="5">
        <v>-0.17111645203738199</v>
      </c>
      <c r="AK92" s="5">
        <v>4.8020558570370298E-2</v>
      </c>
      <c r="AL92" s="5">
        <v>-0.14106011693060799</v>
      </c>
      <c r="AM92" s="5">
        <v>0.11149946911033901</v>
      </c>
      <c r="AN92" s="5">
        <v>0.77860500003238797</v>
      </c>
      <c r="AO92" s="5">
        <v>-0.64351677999855905</v>
      </c>
      <c r="AP92" s="5">
        <v>0.71775332454455998</v>
      </c>
      <c r="AQ92" s="5">
        <v>-0.56275525963385797</v>
      </c>
      <c r="AR92" s="5">
        <v>-6.9450940076998299E-2</v>
      </c>
      <c r="AS92" s="5">
        <v>-1.05190520304834E-3</v>
      </c>
      <c r="AT92" s="5">
        <v>-0.27041975879108998</v>
      </c>
      <c r="AU92" s="5">
        <v>0.25393662652454102</v>
      </c>
      <c r="AV92" s="5">
        <v>-6.5524501786726405E-2</v>
      </c>
      <c r="AW92" s="5">
        <v>-1.94495718898282E-2</v>
      </c>
      <c r="AX92" s="5">
        <v>-0.102306036669864</v>
      </c>
      <c r="AY92" s="5">
        <v>-4.1318759744701401E-2</v>
      </c>
      <c r="AZ92" s="5">
        <v>6.4717134719877001E-2</v>
      </c>
      <c r="BA92" s="5">
        <v>-0.106580039863404</v>
      </c>
      <c r="BB92" s="5">
        <v>2.4453960643529501E-2</v>
      </c>
      <c r="BC92" s="5">
        <v>-0.13075277021184201</v>
      </c>
      <c r="BD92" s="5">
        <v>0.54751994920913505</v>
      </c>
      <c r="BE92" s="5">
        <v>-0.35013699018234201</v>
      </c>
      <c r="BF92" s="5">
        <v>0.115176175131129</v>
      </c>
      <c r="BG92" s="5">
        <v>-0.207202497148123</v>
      </c>
      <c r="BH92" s="5">
        <v>7.0326609861316905E-2</v>
      </c>
      <c r="BI92" s="5">
        <v>-9.5501630981698199E-2</v>
      </c>
      <c r="BJ92" s="5">
        <v>0.51355710071320304</v>
      </c>
      <c r="BK92" s="5">
        <v>-0.237528784694539</v>
      </c>
      <c r="BL92" s="5">
        <v>0.79384125554601404</v>
      </c>
      <c r="BM92" s="5">
        <v>-0.63955020966644904</v>
      </c>
      <c r="BN92" s="5">
        <v>0.47612312902005299</v>
      </c>
      <c r="BO92" s="5">
        <v>-0.19147156756133299</v>
      </c>
      <c r="BP92" s="5">
        <v>0.66145585222846603</v>
      </c>
      <c r="BQ92" s="5">
        <v>-0.45724072942557298</v>
      </c>
      <c r="BR92" s="5">
        <v>0.176308723052783</v>
      </c>
      <c r="BS92" s="5">
        <v>-0.152558998757649</v>
      </c>
      <c r="BT92" s="5">
        <v>5.25443632765751E-2</v>
      </c>
      <c r="BU92" s="5">
        <v>-9.1979655923482895E-2</v>
      </c>
      <c r="BV92" s="5">
        <v>8.7610027297559304E-2</v>
      </c>
      <c r="BW92" s="5">
        <v>-0.13710399901140899</v>
      </c>
      <c r="BX92" s="5">
        <v>8.7791886344444597E-2</v>
      </c>
      <c r="BY92" s="5">
        <v>-0.122275723457314</v>
      </c>
      <c r="BZ92" s="5">
        <v>-1.26225891099372E-2</v>
      </c>
      <c r="CA92" s="5">
        <v>-7.7010756683474402E-2</v>
      </c>
      <c r="CB92" s="5">
        <v>-2.8863527741765101E-2</v>
      </c>
      <c r="CC92" s="5">
        <v>-3.9284313467087099E-2</v>
      </c>
      <c r="CD92" s="5">
        <v>2.1950898989374201E-2</v>
      </c>
      <c r="CE92" s="5">
        <v>-5.1445404623514102E-2</v>
      </c>
      <c r="CF92" s="5">
        <v>-3.9566765836452203E-2</v>
      </c>
      <c r="CG92" s="5">
        <v>-1.5434391289891601E-2</v>
      </c>
      <c r="CH92" s="5">
        <v>-8.5263934595976199E-2</v>
      </c>
      <c r="CI92" s="5">
        <v>5.6959735392202601E-2</v>
      </c>
      <c r="CJ92" s="5">
        <v>-7.9975349032201604E-2</v>
      </c>
      <c r="CK92" s="5">
        <v>0.105871473454813</v>
      </c>
      <c r="CL92" s="5">
        <v>0.87996837885477197</v>
      </c>
      <c r="CM92" s="5">
        <v>-0.75034395490201</v>
      </c>
      <c r="CN92" s="5">
        <v>1</v>
      </c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</row>
    <row r="93" spans="1:389" x14ac:dyDescent="0.45">
      <c r="A93" s="4" t="str">
        <f ca="1">"DEU / beta2dist in "&amp;CELL("address",'damages-1990'!$K$47)</f>
        <v>DEU / beta2dist in '[BHM betas v3pd.xlsx]damages-1990'!$K$47</v>
      </c>
      <c r="B93" s="6">
        <v>-8.1667170840764094E-2</v>
      </c>
      <c r="C93" s="5">
        <v>9.1983385935364495E-2</v>
      </c>
      <c r="D93" s="5">
        <v>-8.6535802544485799E-2</v>
      </c>
      <c r="E93" s="5">
        <v>0.232189008913258</v>
      </c>
      <c r="F93" s="5">
        <v>-0.36780337427885601</v>
      </c>
      <c r="G93" s="5">
        <v>0.46532399521122803</v>
      </c>
      <c r="H93" s="5">
        <v>-0.618742759507657</v>
      </c>
      <c r="I93" s="5">
        <v>0.62282953850060696</v>
      </c>
      <c r="J93" s="5">
        <v>0.16092179280740801</v>
      </c>
      <c r="K93" s="5">
        <v>-5.2788794389628498E-3</v>
      </c>
      <c r="L93" s="5">
        <v>9.9057873025209606E-3</v>
      </c>
      <c r="M93" s="5">
        <v>-2.3994361964543302E-2</v>
      </c>
      <c r="N93" s="5">
        <v>-0.27954234499149899</v>
      </c>
      <c r="O93" s="5">
        <v>0.232607153256327</v>
      </c>
      <c r="P93" s="5">
        <v>-9.9181499287321201E-2</v>
      </c>
      <c r="Q93" s="5">
        <v>0.20290143099031799</v>
      </c>
      <c r="R93" s="5">
        <v>0.121934623033969</v>
      </c>
      <c r="S93" s="5">
        <v>4.6213075580539803E-2</v>
      </c>
      <c r="T93" s="5">
        <v>-0.77106947468006004</v>
      </c>
      <c r="U93" s="5">
        <v>0.81087326157436901</v>
      </c>
      <c r="V93" s="5">
        <v>-0.12560685932732901</v>
      </c>
      <c r="W93" s="5">
        <v>0.1699660305439</v>
      </c>
      <c r="X93" s="5">
        <v>-8.6859545871688801E-2</v>
      </c>
      <c r="Y93" s="5">
        <v>0.19965556454035899</v>
      </c>
      <c r="Z93" s="5">
        <v>-0.74406939935676097</v>
      </c>
      <c r="AA93" s="5">
        <v>0.85865777983467095</v>
      </c>
      <c r="AB93" s="5">
        <v>-0.126126092033916</v>
      </c>
      <c r="AC93" s="5">
        <v>0.16357038025206899</v>
      </c>
      <c r="AD93" s="5">
        <v>-0.119392812321461</v>
      </c>
      <c r="AE93" s="5">
        <v>0.156244873698246</v>
      </c>
      <c r="AF93" s="5">
        <v>0.207777176577853</v>
      </c>
      <c r="AG93" s="5">
        <v>-5.3076108426794902E-2</v>
      </c>
      <c r="AH93" s="5">
        <v>-0.43445221388972799</v>
      </c>
      <c r="AI93" s="5">
        <v>0.53230934895452897</v>
      </c>
      <c r="AJ93" s="5">
        <v>0.28286920897565998</v>
      </c>
      <c r="AK93" s="5">
        <v>-9.3955935619142505E-2</v>
      </c>
      <c r="AL93" s="5">
        <v>0.21869197241503499</v>
      </c>
      <c r="AM93" s="5">
        <v>-0.16041912443744299</v>
      </c>
      <c r="AN93" s="5">
        <v>-0.61587923529677102</v>
      </c>
      <c r="AO93" s="5">
        <v>0.70752209237138497</v>
      </c>
      <c r="AP93" s="5">
        <v>-0.64751823062916603</v>
      </c>
      <c r="AQ93" s="5">
        <v>0.66349255227963</v>
      </c>
      <c r="AR93" s="5">
        <v>0.115564472573744</v>
      </c>
      <c r="AS93" s="5">
        <v>1.4941726303659199E-2</v>
      </c>
      <c r="AT93" s="5">
        <v>0.39354498928929499</v>
      </c>
      <c r="AU93" s="5">
        <v>-0.34715293607848502</v>
      </c>
      <c r="AV93" s="5">
        <v>0.19023015769457699</v>
      </c>
      <c r="AW93" s="5">
        <v>-1.41856482108586E-2</v>
      </c>
      <c r="AX93" s="5">
        <v>0.177666583376766</v>
      </c>
      <c r="AY93" s="5">
        <v>3.9754803836924299E-2</v>
      </c>
      <c r="AZ93" s="5">
        <v>-5.2801138494359301E-2</v>
      </c>
      <c r="BA93" s="5">
        <v>0.12915039665597899</v>
      </c>
      <c r="BB93" s="5">
        <v>2.0805804207050499E-2</v>
      </c>
      <c r="BC93" s="5">
        <v>0.165116189700653</v>
      </c>
      <c r="BD93" s="5">
        <v>-0.27148292186109602</v>
      </c>
      <c r="BE93" s="5">
        <v>0.291713114812792</v>
      </c>
      <c r="BF93" s="5">
        <v>-8.1994201027018904E-2</v>
      </c>
      <c r="BG93" s="5">
        <v>0.259392281594157</v>
      </c>
      <c r="BH93" s="5">
        <v>-2.8339992496897701E-2</v>
      </c>
      <c r="BI93" s="5">
        <v>0.118162003297796</v>
      </c>
      <c r="BJ93" s="5">
        <v>-0.45350223557300201</v>
      </c>
      <c r="BK93" s="5">
        <v>0.283197989449535</v>
      </c>
      <c r="BL93" s="5">
        <v>-0.73178505714034903</v>
      </c>
      <c r="BM93" s="5">
        <v>0.75858069984898402</v>
      </c>
      <c r="BN93" s="5">
        <v>-0.23772326735070001</v>
      </c>
      <c r="BO93" s="5">
        <v>0.161737374128571</v>
      </c>
      <c r="BP93" s="5">
        <v>-0.43486271655529501</v>
      </c>
      <c r="BQ93" s="5">
        <v>0.430951428523212</v>
      </c>
      <c r="BR93" s="5">
        <v>-0.15937568616631301</v>
      </c>
      <c r="BS93" s="5">
        <v>0.17999287191139601</v>
      </c>
      <c r="BT93" s="5">
        <v>1.8562592229144199E-2</v>
      </c>
      <c r="BU93" s="5">
        <v>9.6631779917952201E-2</v>
      </c>
      <c r="BV93" s="5">
        <v>-4.2038651264762299E-2</v>
      </c>
      <c r="BW93" s="5">
        <v>0.161558941677167</v>
      </c>
      <c r="BX93" s="5">
        <v>-5.9802368184796298E-2</v>
      </c>
      <c r="BY93" s="5">
        <v>0.15057469469666099</v>
      </c>
      <c r="BZ93" s="5">
        <v>5.3629433334417401E-2</v>
      </c>
      <c r="CA93" s="5">
        <v>9.5749121991878294E-2</v>
      </c>
      <c r="CB93" s="5">
        <v>6.3746690411760704E-2</v>
      </c>
      <c r="CC93" s="5">
        <v>4.93383954143169E-2</v>
      </c>
      <c r="CD93" s="5">
        <v>4.8003063628163499E-2</v>
      </c>
      <c r="CE93" s="5">
        <v>3.5083352250720803E-2</v>
      </c>
      <c r="CF93" s="5">
        <v>6.9447627067666606E-2</v>
      </c>
      <c r="CG93" s="5">
        <v>2.0342743518439801E-2</v>
      </c>
      <c r="CH93" s="5">
        <v>0.14182495478889001</v>
      </c>
      <c r="CI93" s="5">
        <v>-8.1706791990227901E-2</v>
      </c>
      <c r="CJ93" s="5">
        <v>0.26103019123226101</v>
      </c>
      <c r="CK93" s="5">
        <v>-0.17988230028591001</v>
      </c>
      <c r="CL93" s="5">
        <v>-0.79128009936122301</v>
      </c>
      <c r="CM93" s="5">
        <v>0.86967108576261298</v>
      </c>
      <c r="CN93" s="5">
        <v>-0.887322519333689</v>
      </c>
      <c r="CO93" s="5">
        <v>1</v>
      </c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</row>
    <row r="94" spans="1:389" x14ac:dyDescent="0.45">
      <c r="A94" s="4" t="str">
        <f ca="1">"DJI / beta1dist in "&amp;CELL("address",'damages-1990'!$J$48)</f>
        <v>DJI / beta1dist in '[BHM betas v3pd.xlsx]damages-1990'!$J$48</v>
      </c>
      <c r="B94" s="6">
        <v>0.18524660896328901</v>
      </c>
      <c r="C94" s="5">
        <v>-5.4261271201977899E-2</v>
      </c>
      <c r="D94" s="5">
        <v>0.44691407126905902</v>
      </c>
      <c r="E94" s="5">
        <v>-0.40206564951100998</v>
      </c>
      <c r="F94" s="5">
        <v>0.124508509803311</v>
      </c>
      <c r="G94" s="5">
        <v>-2.1628897624352199E-3</v>
      </c>
      <c r="H94" s="5">
        <v>-0.27695529300259403</v>
      </c>
      <c r="I94" s="5">
        <v>0.32868837044979199</v>
      </c>
      <c r="J94" s="5">
        <v>0.64174604997660201</v>
      </c>
      <c r="K94" s="5">
        <v>-0.59018101793609901</v>
      </c>
      <c r="L94" s="5">
        <v>0.39401886110763801</v>
      </c>
      <c r="M94" s="5">
        <v>-0.30825666982189598</v>
      </c>
      <c r="N94" s="5">
        <v>-9.1591759186570004E-2</v>
      </c>
      <c r="O94" s="5">
        <v>0.11032695796946899</v>
      </c>
      <c r="P94" s="5">
        <v>0.28876728448765099</v>
      </c>
      <c r="Q94" s="5">
        <v>-0.292801083315328</v>
      </c>
      <c r="R94" s="5">
        <v>0.40634241095367601</v>
      </c>
      <c r="S94" s="5">
        <v>-0.32878715470041497</v>
      </c>
      <c r="T94" s="5">
        <v>4.7902425198701998E-2</v>
      </c>
      <c r="U94" s="5">
        <v>-5.9008357845149802E-2</v>
      </c>
      <c r="V94" s="5">
        <v>0.105318316803857</v>
      </c>
      <c r="W94" s="5">
        <v>0.12590211160919501</v>
      </c>
      <c r="X94" s="5">
        <v>0.41275216088245198</v>
      </c>
      <c r="Y94" s="5">
        <v>-0.36369352066682398</v>
      </c>
      <c r="Z94" s="5">
        <v>-5.7940167522364902E-2</v>
      </c>
      <c r="AA94" s="5">
        <v>0.115488660423051</v>
      </c>
      <c r="AB94" s="5">
        <v>0.38066444313735398</v>
      </c>
      <c r="AC94" s="5">
        <v>-0.389757749890844</v>
      </c>
      <c r="AD94" s="5">
        <v>0.458552902158398</v>
      </c>
      <c r="AE94" s="5">
        <v>-0.406170674513258</v>
      </c>
      <c r="AF94" s="5">
        <v>0.36545285745000999</v>
      </c>
      <c r="AG94" s="5">
        <v>-0.34728831871788102</v>
      </c>
      <c r="AH94" s="5">
        <v>8.1358093584737903E-2</v>
      </c>
      <c r="AI94" s="5">
        <v>1.2486458168276199E-2</v>
      </c>
      <c r="AJ94" s="5">
        <v>0.58267208996764397</v>
      </c>
      <c r="AK94" s="5">
        <v>-0.50032818328592898</v>
      </c>
      <c r="AL94" s="5">
        <v>0.10848818354049</v>
      </c>
      <c r="AM94" s="5">
        <v>-5.8985621278023403E-3</v>
      </c>
      <c r="AN94" s="5">
        <v>0.12949258830131299</v>
      </c>
      <c r="AO94" s="5">
        <v>-0.102237567151562</v>
      </c>
      <c r="AP94" s="5">
        <v>8.5108994965612195E-2</v>
      </c>
      <c r="AQ94" s="5">
        <v>-0.104471031783179</v>
      </c>
      <c r="AR94" s="5">
        <v>0.34309008704352001</v>
      </c>
      <c r="AS94" s="5">
        <v>-0.23580839143947399</v>
      </c>
      <c r="AT94" s="5">
        <v>6.9685345259210704E-2</v>
      </c>
      <c r="AU94" s="5">
        <v>7.8481511927858696E-2</v>
      </c>
      <c r="AV94" s="5">
        <v>0.35562370758712603</v>
      </c>
      <c r="AW94" s="5">
        <v>-0.24952833249718501</v>
      </c>
      <c r="AX94" s="5">
        <v>0.47572492608648298</v>
      </c>
      <c r="AY94" s="5">
        <v>-0.42370613824425801</v>
      </c>
      <c r="AZ94" s="5">
        <v>0.47792769588151601</v>
      </c>
      <c r="BA94" s="5">
        <v>-0.49653823571481598</v>
      </c>
      <c r="BB94" s="5">
        <v>0.52184704209291699</v>
      </c>
      <c r="BC94" s="5">
        <v>-0.51126608114183802</v>
      </c>
      <c r="BD94" s="5">
        <v>7.17537642370384E-2</v>
      </c>
      <c r="BE94" s="5">
        <v>9.2639310977388201E-2</v>
      </c>
      <c r="BF94" s="5">
        <v>0.32196823587760498</v>
      </c>
      <c r="BG94" s="5">
        <v>-0.24392389646792201</v>
      </c>
      <c r="BH94" s="5">
        <v>0.55289286286700401</v>
      </c>
      <c r="BI94" s="5">
        <v>-0.55631248061196303</v>
      </c>
      <c r="BJ94" s="5">
        <v>-0.16169208651976599</v>
      </c>
      <c r="BK94" s="5">
        <v>0.20888367353950199</v>
      </c>
      <c r="BL94" s="5">
        <v>-1.14189449878952E-2</v>
      </c>
      <c r="BM94" s="5">
        <v>1.12681013841499E-2</v>
      </c>
      <c r="BN94" s="5">
        <v>-0.25533626185952901</v>
      </c>
      <c r="BO94" s="5">
        <v>0.43252053212757602</v>
      </c>
      <c r="BP94" s="5">
        <v>-0.16009969895937901</v>
      </c>
      <c r="BQ94" s="5">
        <v>0.34281049713358502</v>
      </c>
      <c r="BR94" s="5">
        <v>0.518058703567851</v>
      </c>
      <c r="BS94" s="5">
        <v>-0.526068387428413</v>
      </c>
      <c r="BT94" s="5">
        <v>0.48174221618020402</v>
      </c>
      <c r="BU94" s="5">
        <v>-0.49649883534521499</v>
      </c>
      <c r="BV94" s="5">
        <v>0.50945417572062401</v>
      </c>
      <c r="BW94" s="5">
        <v>-0.497445519601103</v>
      </c>
      <c r="BX94" s="5">
        <v>0.43874853044392398</v>
      </c>
      <c r="BY94" s="5">
        <v>-0.44262942211772099</v>
      </c>
      <c r="BZ94" s="5">
        <v>0.58240614958506198</v>
      </c>
      <c r="CA94" s="5">
        <v>-0.53901212467036896</v>
      </c>
      <c r="CB94" s="5">
        <v>0.14817129854278299</v>
      </c>
      <c r="CC94" s="5">
        <v>-0.111733508174648</v>
      </c>
      <c r="CD94" s="5">
        <v>0.33070641711906301</v>
      </c>
      <c r="CE94" s="5">
        <v>-0.26948721747510801</v>
      </c>
      <c r="CF94" s="5">
        <v>0.40907773711254902</v>
      </c>
      <c r="CG94" s="5">
        <v>-0.331083992435309</v>
      </c>
      <c r="CH94" s="5">
        <v>5.5360623294552604E-3</v>
      </c>
      <c r="CI94" s="5">
        <v>9.1050429626861301E-2</v>
      </c>
      <c r="CJ94" s="5">
        <v>2.9888333125020601E-2</v>
      </c>
      <c r="CK94" s="5">
        <v>0.113342090205018</v>
      </c>
      <c r="CL94" s="5">
        <v>5.5649012326734401E-2</v>
      </c>
      <c r="CM94" s="5">
        <v>-4.6643286288921497E-2</v>
      </c>
      <c r="CN94" s="5">
        <v>8.3761586565617701E-3</v>
      </c>
      <c r="CO94" s="5">
        <v>2.4027593017896198E-2</v>
      </c>
      <c r="CP94" s="5">
        <v>1</v>
      </c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</row>
    <row r="95" spans="1:389" x14ac:dyDescent="0.45">
      <c r="A95" s="4" t="str">
        <f ca="1">"DJI / beta2dist in "&amp;CELL("address",'damages-1990'!$K$48)</f>
        <v>DJI / beta2dist in '[BHM betas v3pd.xlsx]damages-1990'!$K$48</v>
      </c>
      <c r="B95" s="6">
        <v>-0.101876517305061</v>
      </c>
      <c r="C95" s="5">
        <v>0.26597994211587001</v>
      </c>
      <c r="D95" s="5">
        <v>-0.18213015510097</v>
      </c>
      <c r="E95" s="5">
        <v>0.50899093641175597</v>
      </c>
      <c r="F95" s="5">
        <v>-3.4779060522940997E-2</v>
      </c>
      <c r="G95" s="5">
        <v>7.0514486978775201E-2</v>
      </c>
      <c r="H95" s="5">
        <v>0.208435818858309</v>
      </c>
      <c r="I95" s="5">
        <v>-0.32786786698548998</v>
      </c>
      <c r="J95" s="5">
        <v>-0.38929957545921001</v>
      </c>
      <c r="K95" s="5">
        <v>0.660173600340901</v>
      </c>
      <c r="L95" s="5">
        <v>-0.16234465071944601</v>
      </c>
      <c r="M95" s="5">
        <v>0.33467789542080201</v>
      </c>
      <c r="N95" s="5">
        <v>5.1191298294858599E-2</v>
      </c>
      <c r="O95" s="5">
        <v>-8.6633500590647894E-2</v>
      </c>
      <c r="P95" s="5">
        <v>-0.26266544127993502</v>
      </c>
      <c r="Q95" s="5">
        <v>0.45883950601840001</v>
      </c>
      <c r="R95" s="5">
        <v>-0.14967648961459401</v>
      </c>
      <c r="S95" s="5">
        <v>0.420639847610708</v>
      </c>
      <c r="T95" s="5">
        <v>-0.113692105409521</v>
      </c>
      <c r="U95" s="5">
        <v>0.10388871031713</v>
      </c>
      <c r="V95" s="5">
        <v>2.7359285597158198E-2</v>
      </c>
      <c r="W95" s="5">
        <v>-1.4527844262453999E-2</v>
      </c>
      <c r="X95" s="5">
        <v>-0.19444037715058901</v>
      </c>
      <c r="Y95" s="5">
        <v>0.48563975284574001</v>
      </c>
      <c r="Z95" s="5">
        <v>4.6796860418296497E-2</v>
      </c>
      <c r="AA95" s="5">
        <v>-5.7407458188519299E-2</v>
      </c>
      <c r="AB95" s="5">
        <v>-0.153541174293507</v>
      </c>
      <c r="AC95" s="5">
        <v>0.489511510559139</v>
      </c>
      <c r="AD95" s="5">
        <v>-0.238494686657028</v>
      </c>
      <c r="AE95" s="5">
        <v>0.52839663835217998</v>
      </c>
      <c r="AF95" s="5">
        <v>-0.19961188258903201</v>
      </c>
      <c r="AG95" s="5">
        <v>0.46458785108850198</v>
      </c>
      <c r="AH95" s="5">
        <v>-9.4099517090019593E-3</v>
      </c>
      <c r="AI95" s="5">
        <v>3.3820053794202803E-2</v>
      </c>
      <c r="AJ95" s="5">
        <v>-0.40039943065432199</v>
      </c>
      <c r="AK95" s="5">
        <v>0.60810081728472698</v>
      </c>
      <c r="AL95" s="5">
        <v>0.162966207570819</v>
      </c>
      <c r="AM95" s="5">
        <v>-0.107970443266238</v>
      </c>
      <c r="AN95" s="5">
        <v>-0.14108739886670901</v>
      </c>
      <c r="AO95" s="5">
        <v>0.175308471803134</v>
      </c>
      <c r="AP95" s="5">
        <v>-0.16293716904986699</v>
      </c>
      <c r="AQ95" s="5">
        <v>0.186069207762324</v>
      </c>
      <c r="AR95" s="5">
        <v>-9.1364508311586198E-2</v>
      </c>
      <c r="AS95" s="5">
        <v>0.25682392130341403</v>
      </c>
      <c r="AT95" s="5">
        <v>0.17129336040627899</v>
      </c>
      <c r="AU95" s="5">
        <v>-0.161441665101033</v>
      </c>
      <c r="AV95" s="5">
        <v>-8.3985585424963996E-2</v>
      </c>
      <c r="AW95" s="5">
        <v>0.34416603039765697</v>
      </c>
      <c r="AX95" s="5">
        <v>-0.20242056261696201</v>
      </c>
      <c r="AY95" s="5">
        <v>0.50807933357437096</v>
      </c>
      <c r="AZ95" s="5">
        <v>-0.420501216502638</v>
      </c>
      <c r="BA95" s="5">
        <v>0.62959220471963995</v>
      </c>
      <c r="BB95" s="5">
        <v>-0.19510715278526899</v>
      </c>
      <c r="BC95" s="5">
        <v>0.53845999429104296</v>
      </c>
      <c r="BD95" s="5">
        <v>-3.6245847241004499E-2</v>
      </c>
      <c r="BE95" s="5">
        <v>0.120108016215923</v>
      </c>
      <c r="BF95" s="5">
        <v>-8.6317803627324996E-2</v>
      </c>
      <c r="BG95" s="5">
        <v>0.29418935435673998</v>
      </c>
      <c r="BH95" s="5">
        <v>-0.28169754621361598</v>
      </c>
      <c r="BI95" s="5">
        <v>0.66313969125973604</v>
      </c>
      <c r="BJ95" s="5">
        <v>-1.10769989751602E-2</v>
      </c>
      <c r="BK95" s="5">
        <v>-0.18747726318616101</v>
      </c>
      <c r="BL95" s="5">
        <v>-7.7048487690638004E-2</v>
      </c>
      <c r="BM95" s="5">
        <v>3.1055961884937401E-2</v>
      </c>
      <c r="BN95" s="5">
        <v>0.163388167610134</v>
      </c>
      <c r="BO95" s="5">
        <v>-0.31296966861800801</v>
      </c>
      <c r="BP95" s="5">
        <v>0.107170717051982</v>
      </c>
      <c r="BQ95" s="5">
        <v>-0.29364193992669702</v>
      </c>
      <c r="BR95" s="5">
        <v>-0.31106616119026897</v>
      </c>
      <c r="BS95" s="5">
        <v>0.651246237902537</v>
      </c>
      <c r="BT95" s="5">
        <v>-0.19106805541861699</v>
      </c>
      <c r="BU95" s="5">
        <v>0.58896922596819501</v>
      </c>
      <c r="BV95" s="5">
        <v>-0.23955916520048201</v>
      </c>
      <c r="BW95" s="5">
        <v>0.60123133244858495</v>
      </c>
      <c r="BX95" s="5">
        <v>-0.16844493424471699</v>
      </c>
      <c r="BY95" s="5">
        <v>0.521667158533625</v>
      </c>
      <c r="BZ95" s="5">
        <v>-0.32106310184574799</v>
      </c>
      <c r="CA95" s="5">
        <v>0.62168604247841697</v>
      </c>
      <c r="CB95" s="5">
        <v>5.5656024738770002E-2</v>
      </c>
      <c r="CC95" s="5">
        <v>0.155839820669854</v>
      </c>
      <c r="CD95" s="5">
        <v>-0.22779910088177199</v>
      </c>
      <c r="CE95" s="5">
        <v>0.372154622383433</v>
      </c>
      <c r="CF95" s="5">
        <v>-0.27768711966843601</v>
      </c>
      <c r="CG95" s="5">
        <v>0.442824978867982</v>
      </c>
      <c r="CH95" s="5">
        <v>0.25738472322879802</v>
      </c>
      <c r="CI95" s="5">
        <v>-0.20060891905977499</v>
      </c>
      <c r="CJ95" s="5">
        <v>6.1225128276967598E-2</v>
      </c>
      <c r="CK95" s="5">
        <v>-4.8033303738919002E-2</v>
      </c>
      <c r="CL95" s="5">
        <v>-7.4994417310008499E-2</v>
      </c>
      <c r="CM95" s="5">
        <v>7.4377844706763993E-2</v>
      </c>
      <c r="CN95" s="5">
        <v>-1.9967402877020899E-2</v>
      </c>
      <c r="CO95" s="5">
        <v>9.5583096957727494E-3</v>
      </c>
      <c r="CP95" s="5">
        <v>-0.85987554145329104</v>
      </c>
      <c r="CQ95" s="5">
        <v>1</v>
      </c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</row>
    <row r="96" spans="1:389" x14ac:dyDescent="0.45">
      <c r="A96" s="4" t="str">
        <f ca="1">"DMA / beta1dist in "&amp;CELL("address",'damages-1990'!$J$49)</f>
        <v>DMA / beta1dist in '[BHM betas v3pd.xlsx]damages-1990'!$J$49</v>
      </c>
      <c r="B96" s="6">
        <v>0.15448178317449399</v>
      </c>
      <c r="C96" s="5">
        <v>1.9142605526014499E-2</v>
      </c>
      <c r="D96" s="5">
        <v>0.45715022394574001</v>
      </c>
      <c r="E96" s="5">
        <v>-0.42005231930557502</v>
      </c>
      <c r="F96" s="5">
        <v>9.3093986971895207E-2</v>
      </c>
      <c r="G96" s="5">
        <v>6.9749477428070694E-2</v>
      </c>
      <c r="H96" s="5">
        <v>-6.8649243556907602E-2</v>
      </c>
      <c r="I96" s="5">
        <v>7.4304902973833506E-2</v>
      </c>
      <c r="J96" s="5">
        <v>0.24463121459991699</v>
      </c>
      <c r="K96" s="5">
        <v>-0.11214396742267201</v>
      </c>
      <c r="L96" s="5">
        <v>4.0675174685315299E-2</v>
      </c>
      <c r="M96" s="5">
        <v>0.204944518921545</v>
      </c>
      <c r="N96" s="5">
        <v>0.190429344969543</v>
      </c>
      <c r="O96" s="5">
        <v>-0.24003488030905001</v>
      </c>
      <c r="P96" s="5">
        <v>0.87708263064019198</v>
      </c>
      <c r="Q96" s="5">
        <v>-0.756088268593607</v>
      </c>
      <c r="R96" s="5">
        <v>0.25080175689700801</v>
      </c>
      <c r="S96" s="5">
        <v>-0.22654002541733501</v>
      </c>
      <c r="T96" s="5">
        <v>0.21084731881986801</v>
      </c>
      <c r="U96" s="5">
        <v>-0.25287479051021</v>
      </c>
      <c r="V96" s="5">
        <v>0.12742579400832399</v>
      </c>
      <c r="W96" s="5">
        <v>7.8774041689790894E-2</v>
      </c>
      <c r="X96" s="5">
        <v>0.462840442205806</v>
      </c>
      <c r="Y96" s="5">
        <v>-0.377372734414682</v>
      </c>
      <c r="Z96" s="5">
        <v>0.12919129465010301</v>
      </c>
      <c r="AA96" s="5">
        <v>-8.0742117023719501E-2</v>
      </c>
      <c r="AB96" s="5">
        <v>0.371725380254529</v>
      </c>
      <c r="AC96" s="5">
        <v>-0.41655448311683801</v>
      </c>
      <c r="AD96" s="5">
        <v>0.36044368195417398</v>
      </c>
      <c r="AE96" s="5">
        <v>-0.37843476200385201</v>
      </c>
      <c r="AF96" s="5">
        <v>0.24085566718356799</v>
      </c>
      <c r="AG96" s="5">
        <v>-0.168663094185867</v>
      </c>
      <c r="AH96" s="5">
        <v>0.121139440268211</v>
      </c>
      <c r="AI96" s="5">
        <v>-6.0096391560884197E-3</v>
      </c>
      <c r="AJ96" s="5">
        <v>0.18019857926256899</v>
      </c>
      <c r="AK96" s="5">
        <v>-1.0893628915297399E-2</v>
      </c>
      <c r="AL96" s="5">
        <v>2.1046705528317E-2</v>
      </c>
      <c r="AM96" s="5">
        <v>0.103505909126112</v>
      </c>
      <c r="AN96" s="5">
        <v>0.18952780093956401</v>
      </c>
      <c r="AO96" s="5">
        <v>-0.175848423504363</v>
      </c>
      <c r="AP96" s="5">
        <v>-5.2306148497700197E-2</v>
      </c>
      <c r="AQ96" s="5">
        <v>4.1732361696561401E-2</v>
      </c>
      <c r="AR96" s="5">
        <v>0.22006634697445401</v>
      </c>
      <c r="AS96" s="5">
        <v>-0.14329229981849601</v>
      </c>
      <c r="AT96" s="5">
        <v>-0.147916863115749</v>
      </c>
      <c r="AU96" s="5">
        <v>0.27343534679416598</v>
      </c>
      <c r="AV96" s="5">
        <v>0.322085118955035</v>
      </c>
      <c r="AW96" s="5">
        <v>-0.35714132609837101</v>
      </c>
      <c r="AX96" s="5">
        <v>0.38674061554511602</v>
      </c>
      <c r="AY96" s="5">
        <v>-0.42792724113257502</v>
      </c>
      <c r="AZ96" s="5">
        <v>0.76143710983161395</v>
      </c>
      <c r="BA96" s="5">
        <v>-0.63952846249835404</v>
      </c>
      <c r="BB96" s="5">
        <v>0.25572958161942499</v>
      </c>
      <c r="BC96" s="5">
        <v>-0.215991532021449</v>
      </c>
      <c r="BD96" s="5">
        <v>6.03346698387952E-2</v>
      </c>
      <c r="BE96" s="5">
        <v>0.11137136352747699</v>
      </c>
      <c r="BF96" s="5">
        <v>0.45290984810414298</v>
      </c>
      <c r="BG96" s="5">
        <v>-0.40449689289280499</v>
      </c>
      <c r="BH96" s="5">
        <v>0.465710428763702</v>
      </c>
      <c r="BI96" s="5">
        <v>-0.47429482020132302</v>
      </c>
      <c r="BJ96" s="5">
        <v>-0.13974551772076901</v>
      </c>
      <c r="BK96" s="5">
        <v>0.14731464080237999</v>
      </c>
      <c r="BL96" s="5">
        <v>0.20525292849000601</v>
      </c>
      <c r="BM96" s="5">
        <v>-0.25778861727276903</v>
      </c>
      <c r="BN96" s="5">
        <v>0.108822035525102</v>
      </c>
      <c r="BO96" s="5">
        <v>-5.6225504089159398E-2</v>
      </c>
      <c r="BP96" s="5">
        <v>-0.125303805904248</v>
      </c>
      <c r="BQ96" s="5">
        <v>0.31177666083032701</v>
      </c>
      <c r="BR96" s="5">
        <v>0.42720446738690798</v>
      </c>
      <c r="BS96" s="5">
        <v>-0.43707487371260301</v>
      </c>
      <c r="BT96" s="5">
        <v>0.422969343690903</v>
      </c>
      <c r="BU96" s="5">
        <v>-0.438573815655463</v>
      </c>
      <c r="BV96" s="5">
        <v>0.35369123573932298</v>
      </c>
      <c r="BW96" s="5">
        <v>-0.32553996041518501</v>
      </c>
      <c r="BX96" s="5">
        <v>0.27647230744988199</v>
      </c>
      <c r="BY96" s="5">
        <v>-0.27564001887212802</v>
      </c>
      <c r="BZ96" s="5">
        <v>0.37362806705127799</v>
      </c>
      <c r="CA96" s="5">
        <v>-0.417690314890107</v>
      </c>
      <c r="CB96" s="5">
        <v>0.26641798313717702</v>
      </c>
      <c r="CC96" s="5">
        <v>-0.29995031821426499</v>
      </c>
      <c r="CD96" s="5">
        <v>0.47224121990013301</v>
      </c>
      <c r="CE96" s="5">
        <v>-0.464575073632919</v>
      </c>
      <c r="CF96" s="5">
        <v>0.56307798129750897</v>
      </c>
      <c r="CG96" s="5">
        <v>-0.51930573756251097</v>
      </c>
      <c r="CH96" s="5">
        <v>1.17922276737527E-2</v>
      </c>
      <c r="CI96" s="5">
        <v>7.8270221693808401E-2</v>
      </c>
      <c r="CJ96" s="5">
        <v>6.1969609956165198E-2</v>
      </c>
      <c r="CK96" s="5">
        <v>0.14704400550624</v>
      </c>
      <c r="CL96" s="5">
        <v>0.15312072858727599</v>
      </c>
      <c r="CM96" s="5">
        <v>-0.15514247164418599</v>
      </c>
      <c r="CN96" s="5">
        <v>0.11766376098456</v>
      </c>
      <c r="CO96" s="5">
        <v>-8.6647352030868804E-2</v>
      </c>
      <c r="CP96" s="5">
        <v>0.29736764072732103</v>
      </c>
      <c r="CQ96" s="5">
        <v>-0.26285912456451199</v>
      </c>
      <c r="CR96" s="5">
        <v>1</v>
      </c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</row>
    <row r="97" spans="1:389" x14ac:dyDescent="0.45">
      <c r="A97" s="4" t="str">
        <f ca="1">"DMA / beta2dist in "&amp;CELL("address",'damages-1990'!$K$49)</f>
        <v>DMA / beta2dist in '[BHM betas v3pd.xlsx]damages-1990'!$K$49</v>
      </c>
      <c r="B97" s="6">
        <v>-2.5022466534063099E-2</v>
      </c>
      <c r="C97" s="5">
        <v>0.136605873584905</v>
      </c>
      <c r="D97" s="5">
        <v>-0.228874659213439</v>
      </c>
      <c r="E97" s="5">
        <v>0.520712721830072</v>
      </c>
      <c r="F97" s="5">
        <v>2.17707548491929E-2</v>
      </c>
      <c r="G97" s="5">
        <v>-9.8478659130145797E-3</v>
      </c>
      <c r="H97" s="5">
        <v>2.07847059605125E-2</v>
      </c>
      <c r="I97" s="5">
        <v>-5.7473432881428303E-2</v>
      </c>
      <c r="J97" s="5">
        <v>-5.4587593170686198E-2</v>
      </c>
      <c r="K97" s="5">
        <v>0.22103077908816901</v>
      </c>
      <c r="L97" s="5">
        <v>0.16625703880661599</v>
      </c>
      <c r="M97" s="5">
        <v>-0.166120068490864</v>
      </c>
      <c r="N97" s="5">
        <v>-0.146110550380631</v>
      </c>
      <c r="O97" s="5">
        <v>0.20058531037962199</v>
      </c>
      <c r="P97" s="5">
        <v>-0.74667501539316194</v>
      </c>
      <c r="Q97" s="5">
        <v>0.881730560617347</v>
      </c>
      <c r="R97" s="5">
        <v>-3.9634307651925597E-2</v>
      </c>
      <c r="S97" s="5">
        <v>0.32864672402304201</v>
      </c>
      <c r="T97" s="5">
        <v>-0.29500528410160898</v>
      </c>
      <c r="U97" s="5">
        <v>0.35081092076674902</v>
      </c>
      <c r="V97" s="5">
        <v>2.1661879023008E-2</v>
      </c>
      <c r="W97" s="5">
        <v>2.2526627748807398E-2</v>
      </c>
      <c r="X97" s="5">
        <v>-0.25062841223364102</v>
      </c>
      <c r="Y97" s="5">
        <v>0.47395054330598402</v>
      </c>
      <c r="Z97" s="5">
        <v>-0.116297108952196</v>
      </c>
      <c r="AA97" s="5">
        <v>0.145594183781554</v>
      </c>
      <c r="AB97" s="5">
        <v>-0.23276968342181101</v>
      </c>
      <c r="AC97" s="5">
        <v>0.54561315086024997</v>
      </c>
      <c r="AD97" s="5">
        <v>-0.24172033633575499</v>
      </c>
      <c r="AE97" s="5">
        <v>0.53575308392825305</v>
      </c>
      <c r="AF97" s="5">
        <v>-0.104484853618675</v>
      </c>
      <c r="AG97" s="5">
        <v>0.30170905118064001</v>
      </c>
      <c r="AH97" s="5">
        <v>-3.2712785920693502E-2</v>
      </c>
      <c r="AI97" s="5">
        <v>6.4936738503900096E-2</v>
      </c>
      <c r="AJ97" s="5">
        <v>-4.4430921387161898E-2</v>
      </c>
      <c r="AK97" s="5">
        <v>0.15453722677414999</v>
      </c>
      <c r="AL97" s="5">
        <v>0.25387501514884497</v>
      </c>
      <c r="AM97" s="5">
        <v>-0.241491203482183</v>
      </c>
      <c r="AN97" s="5">
        <v>-0.198802335924226</v>
      </c>
      <c r="AO97" s="5">
        <v>0.28136244201951499</v>
      </c>
      <c r="AP97" s="5">
        <v>-9.7249447545128001E-2</v>
      </c>
      <c r="AQ97" s="5">
        <v>0.142003830645928</v>
      </c>
      <c r="AR97" s="5">
        <v>-4.6661677987949401E-2</v>
      </c>
      <c r="AS97" s="5">
        <v>0.21579022660370001</v>
      </c>
      <c r="AT97" s="5">
        <v>0.36804449898264002</v>
      </c>
      <c r="AU97" s="5">
        <v>-0.38366055937794902</v>
      </c>
      <c r="AV97" s="5">
        <v>-9.47432887365868E-2</v>
      </c>
      <c r="AW97" s="5">
        <v>0.45583827558330198</v>
      </c>
      <c r="AX97" s="5">
        <v>-0.17911072029198599</v>
      </c>
      <c r="AY97" s="5">
        <v>0.53808221593024397</v>
      </c>
      <c r="AZ97" s="5">
        <v>-0.64730638708894395</v>
      </c>
      <c r="BA97" s="5">
        <v>0.77824225293962002</v>
      </c>
      <c r="BB97" s="5">
        <v>-4.8508638793836101E-2</v>
      </c>
      <c r="BC97" s="5">
        <v>0.34197641382105998</v>
      </c>
      <c r="BD97" s="5">
        <v>3.1487842541418798E-3</v>
      </c>
      <c r="BE97" s="5">
        <v>7.7052866474360701E-2</v>
      </c>
      <c r="BF97" s="5">
        <v>-0.31148421400661402</v>
      </c>
      <c r="BG97" s="5">
        <v>0.52990150311481099</v>
      </c>
      <c r="BH97" s="5">
        <v>-0.26848291600330199</v>
      </c>
      <c r="BI97" s="5">
        <v>0.60644642516950298</v>
      </c>
      <c r="BJ97" s="5">
        <v>-7.1610043670937207E-2</v>
      </c>
      <c r="BK97" s="5">
        <v>-5.6792814566517698E-2</v>
      </c>
      <c r="BL97" s="5">
        <v>-0.27941091803885398</v>
      </c>
      <c r="BM97" s="5">
        <v>0.32198475923511</v>
      </c>
      <c r="BN97" s="5">
        <v>-0.102244327532183</v>
      </c>
      <c r="BO97" s="5">
        <v>8.6743354096268502E-2</v>
      </c>
      <c r="BP97" s="5">
        <v>8.4334043279695695E-2</v>
      </c>
      <c r="BQ97" s="5">
        <v>-0.239231154538178</v>
      </c>
      <c r="BR97" s="5">
        <v>-0.333626396642562</v>
      </c>
      <c r="BS97" s="5">
        <v>0.61472459286704695</v>
      </c>
      <c r="BT97" s="5">
        <v>-0.20615190232463601</v>
      </c>
      <c r="BU97" s="5">
        <v>0.56116971499319002</v>
      </c>
      <c r="BV97" s="5">
        <v>-0.13574016557600599</v>
      </c>
      <c r="BW97" s="5">
        <v>0.43716720188298602</v>
      </c>
      <c r="BX97" s="5">
        <v>-8.1973278658641402E-2</v>
      </c>
      <c r="BY97" s="5">
        <v>0.388536100459423</v>
      </c>
      <c r="BZ97" s="5">
        <v>-0.19374494392681499</v>
      </c>
      <c r="CA97" s="5">
        <v>0.52638925588865504</v>
      </c>
      <c r="CB97" s="5">
        <v>-6.4030408944587905E-2</v>
      </c>
      <c r="CC97" s="5">
        <v>0.32403917221523398</v>
      </c>
      <c r="CD97" s="5">
        <v>-0.25468637234741898</v>
      </c>
      <c r="CE97" s="5">
        <v>0.44130652309086399</v>
      </c>
      <c r="CF97" s="5">
        <v>-0.443864504129375</v>
      </c>
      <c r="CG97" s="5">
        <v>0.62511840304708999</v>
      </c>
      <c r="CH97" s="5">
        <v>0.24869982706962401</v>
      </c>
      <c r="CI97" s="5">
        <v>-0.202276566267965</v>
      </c>
      <c r="CJ97" s="5">
        <v>6.9422971636320899E-2</v>
      </c>
      <c r="CK97" s="5">
        <v>-0.10855777661823</v>
      </c>
      <c r="CL97" s="5">
        <v>-0.20676965393309901</v>
      </c>
      <c r="CM97" s="5">
        <v>0.25135862243812002</v>
      </c>
      <c r="CN97" s="5">
        <v>-0.14341963864599799</v>
      </c>
      <c r="CO97" s="5">
        <v>0.171716359007172</v>
      </c>
      <c r="CP97" s="5">
        <v>-0.30621308084488102</v>
      </c>
      <c r="CQ97" s="5">
        <v>0.478412970661515</v>
      </c>
      <c r="CR97" s="5">
        <v>-0.861242833233275</v>
      </c>
      <c r="CS97" s="5">
        <v>1</v>
      </c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</row>
    <row r="98" spans="1:389" x14ac:dyDescent="0.45">
      <c r="A98" s="4" t="str">
        <f ca="1">"DNK / beta1dist in "&amp;CELL("address",'damages-1990'!$J$50)</f>
        <v>DNK / beta1dist in '[BHM betas v3pd.xlsx]damages-1990'!$J$50</v>
      </c>
      <c r="B98" s="6">
        <v>0.252122441300492</v>
      </c>
      <c r="C98" s="5">
        <v>-0.13617714698700101</v>
      </c>
      <c r="D98" s="5">
        <v>0.105171451078231</v>
      </c>
      <c r="E98" s="5">
        <v>-0.20016074684926399</v>
      </c>
      <c r="F98" s="5">
        <v>0.44866540579887199</v>
      </c>
      <c r="G98" s="5">
        <v>-0.383475258304174</v>
      </c>
      <c r="H98" s="5">
        <v>0.63361712539952797</v>
      </c>
      <c r="I98" s="5">
        <v>-0.49893697561989397</v>
      </c>
      <c r="J98" s="5">
        <v>-4.02965520617359E-2</v>
      </c>
      <c r="K98" s="5">
        <v>-7.9786116212545402E-2</v>
      </c>
      <c r="L98" s="5">
        <v>0.16151578274366701</v>
      </c>
      <c r="M98" s="5">
        <v>-5.2809578772353399E-2</v>
      </c>
      <c r="N98" s="5">
        <v>0.29989488070727899</v>
      </c>
      <c r="O98" s="5">
        <v>-0.106290855684186</v>
      </c>
      <c r="P98" s="5">
        <v>6.5700012714572806E-2</v>
      </c>
      <c r="Q98" s="5">
        <v>-0.149984506001868</v>
      </c>
      <c r="R98" s="5">
        <v>-3.52308506355474E-2</v>
      </c>
      <c r="S98" s="5">
        <v>-7.3409443501044294E-2</v>
      </c>
      <c r="T98" s="5">
        <v>0.72442231890961795</v>
      </c>
      <c r="U98" s="5">
        <v>-0.61926227142014301</v>
      </c>
      <c r="V98" s="5">
        <v>0.290029240360483</v>
      </c>
      <c r="W98" s="5">
        <v>-0.18210223364056699</v>
      </c>
      <c r="X98" s="5">
        <v>0.14289159369398699</v>
      </c>
      <c r="Y98" s="5">
        <v>-0.200350824263442</v>
      </c>
      <c r="Z98" s="5">
        <v>0.77340312688935997</v>
      </c>
      <c r="AA98" s="5">
        <v>-0.712114216745245</v>
      </c>
      <c r="AB98" s="5">
        <v>0.13747550807893499</v>
      </c>
      <c r="AC98" s="5">
        <v>-0.16620674554817799</v>
      </c>
      <c r="AD98" s="5">
        <v>0.162973389245887</v>
      </c>
      <c r="AE98" s="5">
        <v>-0.18074012153442501</v>
      </c>
      <c r="AF98" s="5">
        <v>-0.163529077958008</v>
      </c>
      <c r="AG98" s="5">
        <v>3.82923729399164E-2</v>
      </c>
      <c r="AH98" s="5">
        <v>0.48003891100892698</v>
      </c>
      <c r="AI98" s="5">
        <v>-0.40572281207095601</v>
      </c>
      <c r="AJ98" s="5">
        <v>-0.17099354811388101</v>
      </c>
      <c r="AK98" s="5">
        <v>1.4256315669108699E-2</v>
      </c>
      <c r="AL98" s="5">
        <v>-0.15221652824450599</v>
      </c>
      <c r="AM98" s="5">
        <v>9.1019977902097607E-2</v>
      </c>
      <c r="AN98" s="5">
        <v>0.61617793956945399</v>
      </c>
      <c r="AO98" s="5">
        <v>-0.52729749320511698</v>
      </c>
      <c r="AP98" s="5">
        <v>0.72621811087194699</v>
      </c>
      <c r="AQ98" s="5">
        <v>-0.64420410202980405</v>
      </c>
      <c r="AR98" s="5">
        <v>-6.5782700507723793E-2</v>
      </c>
      <c r="AS98" s="5">
        <v>-5.0075361249215501E-2</v>
      </c>
      <c r="AT98" s="5">
        <v>-0.36854791040530999</v>
      </c>
      <c r="AU98" s="5">
        <v>0.32567700385523302</v>
      </c>
      <c r="AV98" s="5">
        <v>-0.104601197874682</v>
      </c>
      <c r="AW98" s="5">
        <v>-2.6015778715569898E-2</v>
      </c>
      <c r="AX98" s="5">
        <v>-0.15033631033578301</v>
      </c>
      <c r="AY98" s="5">
        <v>-1.6905072100966499E-2</v>
      </c>
      <c r="AZ98" s="5">
        <v>2.3408031852717E-2</v>
      </c>
      <c r="BA98" s="5">
        <v>-9.6082196938300293E-2</v>
      </c>
      <c r="BB98" s="5">
        <v>-8.8184276696077102E-4</v>
      </c>
      <c r="BC98" s="5">
        <v>-0.14307149174883599</v>
      </c>
      <c r="BD98" s="5">
        <v>0.43220932464874601</v>
      </c>
      <c r="BE98" s="5">
        <v>-0.32166933886018401</v>
      </c>
      <c r="BF98" s="5">
        <v>7.0880626544733094E-2</v>
      </c>
      <c r="BG98" s="5">
        <v>-0.196242593828831</v>
      </c>
      <c r="BH98" s="5">
        <v>6.0367205321431402E-2</v>
      </c>
      <c r="BI98" s="5">
        <v>-0.11843685923613299</v>
      </c>
      <c r="BJ98" s="5">
        <v>0.51214956640689802</v>
      </c>
      <c r="BK98" s="5">
        <v>-0.28328335211132899</v>
      </c>
      <c r="BL98" s="5">
        <v>0.68105212049379005</v>
      </c>
      <c r="BM98" s="5">
        <v>-0.55257218559991605</v>
      </c>
      <c r="BN98" s="5">
        <v>0.40527171172294002</v>
      </c>
      <c r="BO98" s="5">
        <v>-0.194602215861125</v>
      </c>
      <c r="BP98" s="5">
        <v>0.58316436750492395</v>
      </c>
      <c r="BQ98" s="5">
        <v>-0.457568590523664</v>
      </c>
      <c r="BR98" s="5">
        <v>0.21159731093485201</v>
      </c>
      <c r="BS98" s="5">
        <v>-0.212016612155361</v>
      </c>
      <c r="BT98" s="5">
        <v>4.9586429225104797E-2</v>
      </c>
      <c r="BU98" s="5">
        <v>-0.13568314152410299</v>
      </c>
      <c r="BV98" s="5">
        <v>0.100223622827984</v>
      </c>
      <c r="BW98" s="5">
        <v>-0.18794616932306399</v>
      </c>
      <c r="BX98" s="5">
        <v>0.111134389559295</v>
      </c>
      <c r="BY98" s="5">
        <v>-0.18264460560224899</v>
      </c>
      <c r="BZ98" s="5">
        <v>-5.2902920240523498E-3</v>
      </c>
      <c r="CA98" s="5">
        <v>-0.10380363888634001</v>
      </c>
      <c r="CB98" s="5">
        <v>-5.4082528612702199E-2</v>
      </c>
      <c r="CC98" s="5">
        <v>-4.0412099063641301E-2</v>
      </c>
      <c r="CD98" s="5">
        <v>-7.0311758123994594E-2</v>
      </c>
      <c r="CE98" s="5">
        <v>2.2276761096563999E-2</v>
      </c>
      <c r="CF98" s="5">
        <v>-6.8994903997716198E-2</v>
      </c>
      <c r="CG98" s="5">
        <v>-9.5238586362726904E-3</v>
      </c>
      <c r="CH98" s="5">
        <v>-8.2796619226699605E-2</v>
      </c>
      <c r="CI98" s="5">
        <v>1.56415424034754E-2</v>
      </c>
      <c r="CJ98" s="5">
        <v>-7.0357707405507994E-2</v>
      </c>
      <c r="CK98" s="5">
        <v>4.82520478398391E-2</v>
      </c>
      <c r="CL98" s="5">
        <v>0.77756074617459603</v>
      </c>
      <c r="CM98" s="5">
        <v>-0.69622921330495202</v>
      </c>
      <c r="CN98" s="5">
        <v>0.83931569083355295</v>
      </c>
      <c r="CO98" s="5">
        <v>-0.78292119388157799</v>
      </c>
      <c r="CP98" s="5">
        <v>1.7069298457037099E-2</v>
      </c>
      <c r="CQ98" s="5">
        <v>-4.3810899156683597E-2</v>
      </c>
      <c r="CR98" s="5">
        <v>5.72088429379961E-2</v>
      </c>
      <c r="CS98" s="5">
        <v>-0.11391544632207699</v>
      </c>
      <c r="CT98" s="5">
        <v>1</v>
      </c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</row>
    <row r="99" spans="1:389" x14ac:dyDescent="0.45">
      <c r="A99" s="4" t="str">
        <f ca="1">"DNK / beta2dist in "&amp;CELL("address",'damages-1990'!$K$50)</f>
        <v>DNK / beta2dist in '[BHM betas v3pd.xlsx]damages-1990'!$K$50</v>
      </c>
      <c r="B99" s="6">
        <v>-3.1753960822406703E-2</v>
      </c>
      <c r="C99" s="5">
        <v>4.44024955942958E-2</v>
      </c>
      <c r="D99" s="5">
        <v>-9.6914203137624402E-2</v>
      </c>
      <c r="E99" s="5">
        <v>0.24102403656767701</v>
      </c>
      <c r="F99" s="5">
        <v>-0.23722565346032401</v>
      </c>
      <c r="G99" s="5">
        <v>0.31377488174944801</v>
      </c>
      <c r="H99" s="5">
        <v>-0.52168306019560295</v>
      </c>
      <c r="I99" s="5">
        <v>0.52076808416553999</v>
      </c>
      <c r="J99" s="5">
        <v>6.3774682588645798E-2</v>
      </c>
      <c r="K99" s="5">
        <v>7.1889835137304306E-2</v>
      </c>
      <c r="L99" s="5">
        <v>-6.4438596160491897E-3</v>
      </c>
      <c r="M99" s="5">
        <v>3.66318206047929E-3</v>
      </c>
      <c r="N99" s="5">
        <v>-0.118351228033725</v>
      </c>
      <c r="O99" s="5">
        <v>7.8605009456262503E-2</v>
      </c>
      <c r="P99" s="5">
        <v>-5.6018122733714502E-2</v>
      </c>
      <c r="Q99" s="5">
        <v>0.16237077523905699</v>
      </c>
      <c r="R99" s="5">
        <v>9.6449595213335501E-2</v>
      </c>
      <c r="S99" s="5">
        <v>6.2531428146504697E-2</v>
      </c>
      <c r="T99" s="5">
        <v>-0.62264399061430598</v>
      </c>
      <c r="U99" s="5">
        <v>0.65863424321485198</v>
      </c>
      <c r="V99" s="5">
        <v>-7.5421816904071695E-2</v>
      </c>
      <c r="W99" s="5">
        <v>9.5864847067797201E-2</v>
      </c>
      <c r="X99" s="5">
        <v>-0.11397382408710501</v>
      </c>
      <c r="Y99" s="5">
        <v>0.22515878453962901</v>
      </c>
      <c r="Z99" s="5">
        <v>-0.61838098666300201</v>
      </c>
      <c r="AA99" s="5">
        <v>0.72448981605817298</v>
      </c>
      <c r="AB99" s="5">
        <v>-0.17298801366455499</v>
      </c>
      <c r="AC99" s="5">
        <v>0.211788315372996</v>
      </c>
      <c r="AD99" s="5">
        <v>-0.169297069678669</v>
      </c>
      <c r="AE99" s="5">
        <v>0.20398466156502201</v>
      </c>
      <c r="AF99" s="5">
        <v>0.15941406608105901</v>
      </c>
      <c r="AG99" s="5">
        <v>-8.1041726654154898E-3</v>
      </c>
      <c r="AH99" s="5">
        <v>-0.29642314609018799</v>
      </c>
      <c r="AI99" s="5">
        <v>0.37567698510714298</v>
      </c>
      <c r="AJ99" s="5">
        <v>0.19850605804618601</v>
      </c>
      <c r="AK99" s="5">
        <v>-2.6419512815026101E-2</v>
      </c>
      <c r="AL99" s="5">
        <v>0.17886150313015201</v>
      </c>
      <c r="AM99" s="5">
        <v>-0.11713849128569</v>
      </c>
      <c r="AN99" s="5">
        <v>-0.44933594623156098</v>
      </c>
      <c r="AO99" s="5">
        <v>0.52480441613453999</v>
      </c>
      <c r="AP99" s="5">
        <v>-0.65085753445244798</v>
      </c>
      <c r="AQ99" s="5">
        <v>0.716681953306472</v>
      </c>
      <c r="AR99" s="5">
        <v>4.6033039757388997E-2</v>
      </c>
      <c r="AS99" s="5">
        <v>9.8241105823925007E-2</v>
      </c>
      <c r="AT99" s="5">
        <v>0.43659389680001698</v>
      </c>
      <c r="AU99" s="5">
        <v>-0.39731632252205901</v>
      </c>
      <c r="AV99" s="5">
        <v>0.145814977618479</v>
      </c>
      <c r="AW99" s="5">
        <v>2.7067536192801198E-2</v>
      </c>
      <c r="AX99" s="5">
        <v>0.15564434025165899</v>
      </c>
      <c r="AY99" s="5">
        <v>3.7492702248231903E-2</v>
      </c>
      <c r="AZ99" s="5">
        <v>-2.4478405471975401E-2</v>
      </c>
      <c r="BA99" s="5">
        <v>0.118039787281109</v>
      </c>
      <c r="BB99" s="5">
        <v>5.9783485160411999E-3</v>
      </c>
      <c r="BC99" s="5">
        <v>0.17093940022798501</v>
      </c>
      <c r="BD99" s="5">
        <v>-0.20384108913236099</v>
      </c>
      <c r="BE99" s="5">
        <v>0.237491955752823</v>
      </c>
      <c r="BF99" s="5">
        <v>-6.1729615786008003E-2</v>
      </c>
      <c r="BG99" s="5">
        <v>0.22767868744269801</v>
      </c>
      <c r="BH99" s="5">
        <v>-6.9607643370401207E-2</v>
      </c>
      <c r="BI99" s="5">
        <v>0.15653706780218199</v>
      </c>
      <c r="BJ99" s="5">
        <v>-0.422091823187072</v>
      </c>
      <c r="BK99" s="5">
        <v>0.30046637426749101</v>
      </c>
      <c r="BL99" s="5">
        <v>-0.57010090817700598</v>
      </c>
      <c r="BM99" s="5">
        <v>0.58353513940979396</v>
      </c>
      <c r="BN99" s="5">
        <v>-0.17827883001971301</v>
      </c>
      <c r="BO99" s="5">
        <v>0.12173071603471999</v>
      </c>
      <c r="BP99" s="5">
        <v>-0.36351797177054901</v>
      </c>
      <c r="BQ99" s="5">
        <v>0.38613753810153401</v>
      </c>
      <c r="BR99" s="5">
        <v>-0.21695464177023099</v>
      </c>
      <c r="BS99" s="5">
        <v>0.240337025966158</v>
      </c>
      <c r="BT99" s="5">
        <v>-3.6443144982482398E-2</v>
      </c>
      <c r="BU99" s="5">
        <v>0.15968069994651601</v>
      </c>
      <c r="BV99" s="5">
        <v>-0.104477224719359</v>
      </c>
      <c r="BW99" s="5">
        <v>0.22244542970030001</v>
      </c>
      <c r="BX99" s="5">
        <v>-0.129390799564881</v>
      </c>
      <c r="BY99" s="5">
        <v>0.228823562349107</v>
      </c>
      <c r="BZ99" s="5">
        <v>-1.1491447285093199E-2</v>
      </c>
      <c r="CA99" s="5">
        <v>0.140488618404979</v>
      </c>
      <c r="CB99" s="5">
        <v>4.5107938980621501E-2</v>
      </c>
      <c r="CC99" s="5">
        <v>6.2579103918761994E-2</v>
      </c>
      <c r="CD99" s="5">
        <v>0.126432791574808</v>
      </c>
      <c r="CE99" s="5">
        <v>-5.9560018693432602E-2</v>
      </c>
      <c r="CF99" s="5">
        <v>5.3897799702674401E-2</v>
      </c>
      <c r="CG99" s="5">
        <v>3.6194042880768801E-2</v>
      </c>
      <c r="CH99" s="5">
        <v>9.1944191074755002E-2</v>
      </c>
      <c r="CI99" s="5">
        <v>-1.51929067231053E-2</v>
      </c>
      <c r="CJ99" s="5">
        <v>0.16704011266315</v>
      </c>
      <c r="CK99" s="5">
        <v>-8.80579267124557E-2</v>
      </c>
      <c r="CL99" s="5">
        <v>-0.65679344784643601</v>
      </c>
      <c r="CM99" s="5">
        <v>0.73599129063761504</v>
      </c>
      <c r="CN99" s="5">
        <v>-0.701628377461465</v>
      </c>
      <c r="CO99" s="5">
        <v>0.817017578208869</v>
      </c>
      <c r="CP99" s="5">
        <v>-3.1677677626901199E-2</v>
      </c>
      <c r="CQ99" s="5">
        <v>6.0900269721636403E-2</v>
      </c>
      <c r="CR99" s="5">
        <v>-2.52459908436963E-2</v>
      </c>
      <c r="CS99" s="5">
        <v>0.12180690341525099</v>
      </c>
      <c r="CT99" s="5">
        <v>-0.90781753548915201</v>
      </c>
      <c r="CU99" s="5">
        <v>1</v>
      </c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</row>
    <row r="100" spans="1:389" x14ac:dyDescent="0.45">
      <c r="A100" s="4" t="str">
        <f ca="1">"DOM / beta1dist in "&amp;CELL("address",'damages-1990'!$J$51)</f>
        <v>DOM / beta1dist in '[BHM betas v3pd.xlsx]damages-1990'!$J$51</v>
      </c>
      <c r="B100" s="6">
        <v>6.6790470967119306E-2</v>
      </c>
      <c r="C100" s="5">
        <v>0.16805955803976599</v>
      </c>
      <c r="D100" s="5">
        <v>0.53107494634729902</v>
      </c>
      <c r="E100" s="5">
        <v>-0.34973697260841602</v>
      </c>
      <c r="F100" s="5">
        <v>0.15106441623141201</v>
      </c>
      <c r="G100" s="5">
        <v>-6.2311195919921299E-2</v>
      </c>
      <c r="H100" s="5">
        <v>9.4906419347042095E-2</v>
      </c>
      <c r="I100" s="5">
        <v>-0.13562396696864301</v>
      </c>
      <c r="J100" s="5">
        <v>0.29516744879964202</v>
      </c>
      <c r="K100" s="5">
        <v>-0.12538299548255299</v>
      </c>
      <c r="L100" s="5">
        <v>0.14744979041158199</v>
      </c>
      <c r="M100" s="5">
        <v>0.128861340956194</v>
      </c>
      <c r="N100" s="5">
        <v>4.3349519111700902E-2</v>
      </c>
      <c r="O100" s="5">
        <v>-4.6836793726097101E-2</v>
      </c>
      <c r="P100" s="5">
        <v>0.52914524223534798</v>
      </c>
      <c r="Q100" s="5">
        <v>-0.39272833693678999</v>
      </c>
      <c r="R100" s="5">
        <v>0.50211789668454698</v>
      </c>
      <c r="S100" s="5">
        <v>-0.41706055086134503</v>
      </c>
      <c r="T100" s="5">
        <v>0.187209241241095</v>
      </c>
      <c r="U100" s="5">
        <v>-0.21642351550231501</v>
      </c>
      <c r="V100" s="5">
        <v>0.102066692716204</v>
      </c>
      <c r="W100" s="5">
        <v>0.130289461322038</v>
      </c>
      <c r="X100" s="5">
        <v>0.54466618058078498</v>
      </c>
      <c r="Y100" s="5">
        <v>-0.39435483886216499</v>
      </c>
      <c r="Z100" s="5">
        <v>0.18539883162967799</v>
      </c>
      <c r="AA100" s="5">
        <v>-0.18206985106290099</v>
      </c>
      <c r="AB100" s="5">
        <v>0.52660661718090396</v>
      </c>
      <c r="AC100" s="5">
        <v>-0.378839182665128</v>
      </c>
      <c r="AD100" s="5">
        <v>0.54607467917578201</v>
      </c>
      <c r="AE100" s="5">
        <v>-0.36919023269159101</v>
      </c>
      <c r="AF100" s="5">
        <v>5.9216622941284797E-2</v>
      </c>
      <c r="AG100" s="5">
        <v>9.3515571808800699E-2</v>
      </c>
      <c r="AH100" s="5">
        <v>0.163195633425816</v>
      </c>
      <c r="AI100" s="5">
        <v>-9.9348234950145206E-2</v>
      </c>
      <c r="AJ100" s="5">
        <v>0.21857991867204299</v>
      </c>
      <c r="AK100" s="5">
        <v>-6.9025353540857107E-2</v>
      </c>
      <c r="AL100" s="5">
        <v>0.35203089067754501</v>
      </c>
      <c r="AM100" s="5">
        <v>-0.26742517072514699</v>
      </c>
      <c r="AN100" s="5">
        <v>0.16068691538170901</v>
      </c>
      <c r="AO100" s="5">
        <v>-0.13971881285311499</v>
      </c>
      <c r="AP100" s="5">
        <v>5.7260838387797303E-2</v>
      </c>
      <c r="AQ100" s="5">
        <v>-4.0423087364699198E-2</v>
      </c>
      <c r="AR100" s="5">
        <v>0.35772904528786298</v>
      </c>
      <c r="AS100" s="5">
        <v>-0.23254395080370599</v>
      </c>
      <c r="AT100" s="5">
        <v>4.6972064472050497E-2</v>
      </c>
      <c r="AU100" s="5">
        <v>0.10189813798164001</v>
      </c>
      <c r="AV100" s="5">
        <v>0.40388798945468501</v>
      </c>
      <c r="AW100" s="5">
        <v>-0.35935521224238098</v>
      </c>
      <c r="AX100" s="5">
        <v>0.48825781207580998</v>
      </c>
      <c r="AY100" s="5">
        <v>-0.46247864861215199</v>
      </c>
      <c r="AZ100" s="5">
        <v>0.43670626936193602</v>
      </c>
      <c r="BA100" s="5">
        <v>-0.31374830203723503</v>
      </c>
      <c r="BB100" s="5">
        <v>0.40843460124147801</v>
      </c>
      <c r="BC100" s="5">
        <v>-0.21361498802488699</v>
      </c>
      <c r="BD100" s="5">
        <v>0.120375842382621</v>
      </c>
      <c r="BE100" s="5">
        <v>3.0381336936004501E-2</v>
      </c>
      <c r="BF100" s="5">
        <v>0.38794421870974499</v>
      </c>
      <c r="BG100" s="5">
        <v>-0.240344202580556</v>
      </c>
      <c r="BH100" s="5">
        <v>0.48626280879288702</v>
      </c>
      <c r="BI100" s="5">
        <v>-0.32660876035834302</v>
      </c>
      <c r="BJ100" s="5">
        <v>-0.228104186114368</v>
      </c>
      <c r="BK100" s="5">
        <v>0.29558314385951501</v>
      </c>
      <c r="BL100" s="5">
        <v>0.22015082476988501</v>
      </c>
      <c r="BM100" s="5">
        <v>-0.27123022988838802</v>
      </c>
      <c r="BN100" s="5">
        <v>6.0487675136690101E-3</v>
      </c>
      <c r="BO100" s="5">
        <v>3.7328489537900799E-3</v>
      </c>
      <c r="BP100" s="5">
        <v>-7.4304491870637703E-4</v>
      </c>
      <c r="BQ100" s="5">
        <v>7.5804501319537906E-2</v>
      </c>
      <c r="BR100" s="5">
        <v>0.62534506053475503</v>
      </c>
      <c r="BS100" s="5">
        <v>-0.45161587901066502</v>
      </c>
      <c r="BT100" s="5">
        <v>0.54452200525401795</v>
      </c>
      <c r="BU100" s="5">
        <v>-0.425519076479141</v>
      </c>
      <c r="BV100" s="5">
        <v>0.58595070267230298</v>
      </c>
      <c r="BW100" s="5">
        <v>-0.43248214059906098</v>
      </c>
      <c r="BX100" s="5">
        <v>0.52444676330281104</v>
      </c>
      <c r="BY100" s="5">
        <v>-0.38855500764407003</v>
      </c>
      <c r="BZ100" s="5">
        <v>0.52031960839461999</v>
      </c>
      <c r="CA100" s="5">
        <v>-0.42063503310836797</v>
      </c>
      <c r="CB100" s="5">
        <v>0.49910123329352102</v>
      </c>
      <c r="CC100" s="5">
        <v>-0.49173169075753698</v>
      </c>
      <c r="CD100" s="5">
        <v>0.35150162413057501</v>
      </c>
      <c r="CE100" s="5">
        <v>-0.26504802241610997</v>
      </c>
      <c r="CF100" s="5">
        <v>0.48034869244407002</v>
      </c>
      <c r="CG100" s="5">
        <v>-0.35768644029843699</v>
      </c>
      <c r="CH100" s="5">
        <v>0.28857379692621199</v>
      </c>
      <c r="CI100" s="5">
        <v>-0.20213264677173701</v>
      </c>
      <c r="CJ100" s="5">
        <v>-6.8144634544069396E-2</v>
      </c>
      <c r="CK100" s="5">
        <v>0.150261383037922</v>
      </c>
      <c r="CL100" s="5">
        <v>0.18103799647090699</v>
      </c>
      <c r="CM100" s="5">
        <v>-0.181334733841129</v>
      </c>
      <c r="CN100" s="5">
        <v>0.193268344690709</v>
      </c>
      <c r="CO100" s="5">
        <v>-0.19196200781511699</v>
      </c>
      <c r="CP100" s="5">
        <v>0.31078426920553598</v>
      </c>
      <c r="CQ100" s="5">
        <v>-0.15933717234383199</v>
      </c>
      <c r="CR100" s="5">
        <v>0.53834072583444104</v>
      </c>
      <c r="CS100" s="5">
        <v>-0.38787940267627702</v>
      </c>
      <c r="CT100" s="5">
        <v>0.16505374254267399</v>
      </c>
      <c r="CU100" s="5">
        <v>-0.161011428645222</v>
      </c>
      <c r="CV100" s="5">
        <v>1</v>
      </c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</row>
    <row r="101" spans="1:389" x14ac:dyDescent="0.45">
      <c r="A101" s="4" t="str">
        <f ca="1">"DOM / beta2dist in "&amp;CELL("address",'damages-1990'!$K$51)</f>
        <v>DOM / beta2dist in '[BHM betas v3pd.xlsx]damages-1990'!$K$51</v>
      </c>
      <c r="B101" s="6">
        <v>7.4197395685233106E-2</v>
      </c>
      <c r="C101" s="5">
        <v>-2.7221941873027299E-2</v>
      </c>
      <c r="D101" s="5">
        <v>-0.335697127512674</v>
      </c>
      <c r="E101" s="5">
        <v>0.50384599120644802</v>
      </c>
      <c r="F101" s="5">
        <v>-5.0887611946389799E-2</v>
      </c>
      <c r="G101" s="5">
        <v>0.142872777832872</v>
      </c>
      <c r="H101" s="5">
        <v>-0.18472477941562501</v>
      </c>
      <c r="I101" s="5">
        <v>0.18629411454392</v>
      </c>
      <c r="J101" s="5">
        <v>-5.3392529625916403E-2</v>
      </c>
      <c r="K101" s="5">
        <v>0.198992819411937</v>
      </c>
      <c r="L101" s="5">
        <v>4.7972925569477298E-2</v>
      </c>
      <c r="M101" s="5">
        <v>-6.0545162360266198E-2</v>
      </c>
      <c r="N101" s="5">
        <v>-5.9005127876609803E-2</v>
      </c>
      <c r="O101" s="5">
        <v>5.9560529384378898E-2</v>
      </c>
      <c r="P101" s="5">
        <v>-0.40055092105718498</v>
      </c>
      <c r="Q101" s="5">
        <v>0.50520288777857703</v>
      </c>
      <c r="R101" s="5">
        <v>-0.280612359325079</v>
      </c>
      <c r="S101" s="5">
        <v>0.52752267805332298</v>
      </c>
      <c r="T101" s="5">
        <v>-0.28286113284956999</v>
      </c>
      <c r="U101" s="5">
        <v>0.314495549403908</v>
      </c>
      <c r="V101" s="5">
        <v>3.5738717856468899E-2</v>
      </c>
      <c r="W101" s="5">
        <v>-7.68237712425028E-3</v>
      </c>
      <c r="X101" s="5">
        <v>-0.37706431244486999</v>
      </c>
      <c r="Y101" s="5">
        <v>0.560437022512285</v>
      </c>
      <c r="Z101" s="5">
        <v>-0.19056416809992099</v>
      </c>
      <c r="AA101" s="5">
        <v>0.26168905497805101</v>
      </c>
      <c r="AB101" s="5">
        <v>-0.369341013883345</v>
      </c>
      <c r="AC101" s="5">
        <v>0.50513035078776203</v>
      </c>
      <c r="AD101" s="5">
        <v>-0.40170459540944797</v>
      </c>
      <c r="AE101" s="5">
        <v>0.51836945225648401</v>
      </c>
      <c r="AF101" s="5">
        <v>9.3333930995092795E-2</v>
      </c>
      <c r="AG101" s="5">
        <v>3.0042177531268598E-2</v>
      </c>
      <c r="AH101" s="5">
        <v>-0.10031334489185301</v>
      </c>
      <c r="AI101" s="5">
        <v>0.18603252615711999</v>
      </c>
      <c r="AJ101" s="5">
        <v>-4.3922705090696498E-2</v>
      </c>
      <c r="AK101" s="5">
        <v>0.19355644317922399</v>
      </c>
      <c r="AL101" s="5">
        <v>-0.11464952133266</v>
      </c>
      <c r="AM101" s="5">
        <v>0.19629937765104599</v>
      </c>
      <c r="AN101" s="5">
        <v>-0.18803278537100801</v>
      </c>
      <c r="AO101" s="5">
        <v>0.25694454328077498</v>
      </c>
      <c r="AP101" s="5">
        <v>-0.20184491037332999</v>
      </c>
      <c r="AQ101" s="5">
        <v>0.20654699436725499</v>
      </c>
      <c r="AR101" s="5">
        <v>-0.146662401058196</v>
      </c>
      <c r="AS101" s="5">
        <v>0.28381284147950903</v>
      </c>
      <c r="AT101" s="5">
        <v>0.16874902718998</v>
      </c>
      <c r="AU101" s="5">
        <v>-0.18313558146290501</v>
      </c>
      <c r="AV101" s="5">
        <v>-0.15162030186379</v>
      </c>
      <c r="AW101" s="5">
        <v>0.45034369048844503</v>
      </c>
      <c r="AX101" s="5">
        <v>-0.26436228665364397</v>
      </c>
      <c r="AY101" s="5">
        <v>0.58631023945031002</v>
      </c>
      <c r="AZ101" s="5">
        <v>-0.324386835521147</v>
      </c>
      <c r="BA101" s="5">
        <v>0.429766645432197</v>
      </c>
      <c r="BB101" s="5">
        <v>-0.150326736613804</v>
      </c>
      <c r="BC101" s="5">
        <v>0.29375791389504302</v>
      </c>
      <c r="BD101" s="5">
        <v>-6.8996425258034302E-2</v>
      </c>
      <c r="BE101" s="5">
        <v>0.17124561775425701</v>
      </c>
      <c r="BF101" s="5">
        <v>-0.225070018154297</v>
      </c>
      <c r="BG101" s="5">
        <v>0.34782126813700398</v>
      </c>
      <c r="BH101" s="5">
        <v>-0.27420039424639198</v>
      </c>
      <c r="BI101" s="5">
        <v>0.46263688003999998</v>
      </c>
      <c r="BJ101" s="5">
        <v>4.6546636176367897E-3</v>
      </c>
      <c r="BK101" s="5">
        <v>-0.21692109775670901</v>
      </c>
      <c r="BL101" s="5">
        <v>-0.33014727666965699</v>
      </c>
      <c r="BM101" s="5">
        <v>0.36172368032496899</v>
      </c>
      <c r="BN101" s="5">
        <v>-3.5820344050633002E-2</v>
      </c>
      <c r="BO101" s="5">
        <v>5.9876228288374501E-2</v>
      </c>
      <c r="BP101" s="5">
        <v>-5.9135098584190998E-2</v>
      </c>
      <c r="BQ101" s="5">
        <v>5.2596018863426902E-3</v>
      </c>
      <c r="BR101" s="5">
        <v>-0.49948624798910402</v>
      </c>
      <c r="BS101" s="5">
        <v>0.61937037643253101</v>
      </c>
      <c r="BT101" s="5">
        <v>-0.30951245681279199</v>
      </c>
      <c r="BU101" s="5">
        <v>0.55014752151872004</v>
      </c>
      <c r="BV101" s="5">
        <v>-0.390840840935748</v>
      </c>
      <c r="BW101" s="5">
        <v>0.59200138960068005</v>
      </c>
      <c r="BX101" s="5">
        <v>-0.32576126277557999</v>
      </c>
      <c r="BY101" s="5">
        <v>0.52049793938042399</v>
      </c>
      <c r="BZ101" s="5">
        <v>-0.31585835589846201</v>
      </c>
      <c r="CA101" s="5">
        <v>0.52973438560936703</v>
      </c>
      <c r="CB101" s="5">
        <v>-0.35139218935869798</v>
      </c>
      <c r="CC101" s="5">
        <v>0.58159419090959297</v>
      </c>
      <c r="CD101" s="5">
        <v>-0.15335856423504901</v>
      </c>
      <c r="CE101" s="5">
        <v>0.25429903013832</v>
      </c>
      <c r="CF101" s="5">
        <v>-0.35136575768015599</v>
      </c>
      <c r="CG101" s="5">
        <v>0.46244121535782301</v>
      </c>
      <c r="CH101" s="5">
        <v>-4.8610140192328198E-2</v>
      </c>
      <c r="CI101" s="5">
        <v>0.123582745695848</v>
      </c>
      <c r="CJ101" s="5">
        <v>0.213767839480346</v>
      </c>
      <c r="CK101" s="5">
        <v>-0.118579713256904</v>
      </c>
      <c r="CL101" s="5">
        <v>-0.23885988036783901</v>
      </c>
      <c r="CM101" s="5">
        <v>0.27420296551118201</v>
      </c>
      <c r="CN101" s="5">
        <v>-0.22832634422524001</v>
      </c>
      <c r="CO101" s="5">
        <v>0.28020417706747902</v>
      </c>
      <c r="CP101" s="5">
        <v>-0.27937912877183801</v>
      </c>
      <c r="CQ101" s="5">
        <v>0.35855223422008098</v>
      </c>
      <c r="CR101" s="5">
        <v>-0.40256915414906103</v>
      </c>
      <c r="CS101" s="5">
        <v>0.50564308861648799</v>
      </c>
      <c r="CT101" s="5">
        <v>-0.23193709094984299</v>
      </c>
      <c r="CU101" s="5">
        <v>0.259276199602823</v>
      </c>
      <c r="CV101" s="5">
        <v>-0.86008873771813599</v>
      </c>
      <c r="CW101" s="5">
        <v>1</v>
      </c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</row>
    <row r="102" spans="1:389" x14ac:dyDescent="0.45">
      <c r="A102" s="4" t="str">
        <f ca="1">"DZA / beta1dist in "&amp;CELL("address",'damages-1990'!$J$52)</f>
        <v>DZA / beta1dist in '[BHM betas v3pd.xlsx]damages-1990'!$J$52</v>
      </c>
      <c r="B102" s="6">
        <v>0.35278892656020899</v>
      </c>
      <c r="C102" s="5">
        <v>-1.3543771831361301E-2</v>
      </c>
      <c r="D102" s="5">
        <v>0.45522150639283399</v>
      </c>
      <c r="E102" s="5">
        <v>-0.11903018359088501</v>
      </c>
      <c r="F102" s="5">
        <v>0.17090465321329801</v>
      </c>
      <c r="G102" s="5">
        <v>0.106147730675135</v>
      </c>
      <c r="H102" s="5">
        <v>-0.21397785805181299</v>
      </c>
      <c r="I102" s="5">
        <v>0.21964138166264999</v>
      </c>
      <c r="J102" s="5">
        <v>0.555702427930165</v>
      </c>
      <c r="K102" s="5">
        <v>-0.24804072885148501</v>
      </c>
      <c r="L102" s="5">
        <v>0.512661986471319</v>
      </c>
      <c r="M102" s="5">
        <v>-0.20548142395487601</v>
      </c>
      <c r="N102" s="5">
        <v>-0.237596460704078</v>
      </c>
      <c r="O102" s="5">
        <v>0.358162367268963</v>
      </c>
      <c r="P102" s="5">
        <v>0.25735042478115</v>
      </c>
      <c r="Q102" s="5">
        <v>-7.9052752580517305E-2</v>
      </c>
      <c r="R102" s="5">
        <v>0.50545431720378398</v>
      </c>
      <c r="S102" s="5">
        <v>-0.17149695988167199</v>
      </c>
      <c r="T102" s="5">
        <v>-0.115433022922</v>
      </c>
      <c r="U102" s="5">
        <v>0.16118169143293001</v>
      </c>
      <c r="V102" s="5">
        <v>0.229070786108626</v>
      </c>
      <c r="W102" s="5">
        <v>0.201655526336184</v>
      </c>
      <c r="X102" s="5">
        <v>0.36889607859768098</v>
      </c>
      <c r="Y102" s="5">
        <v>-2.5461366412455801E-2</v>
      </c>
      <c r="Z102" s="5">
        <v>2.8574408296037499E-2</v>
      </c>
      <c r="AA102" s="5">
        <v>9.6924473764125205E-2</v>
      </c>
      <c r="AB102" s="5">
        <v>0.60122435653702699</v>
      </c>
      <c r="AC102" s="5">
        <v>-0.42005811246400898</v>
      </c>
      <c r="AD102" s="5">
        <v>0.60995743056770202</v>
      </c>
      <c r="AE102" s="5">
        <v>-0.37979716532493701</v>
      </c>
      <c r="AF102" s="5">
        <v>0.50330708716664796</v>
      </c>
      <c r="AG102" s="5">
        <v>-0.272217264112666</v>
      </c>
      <c r="AH102" s="5">
        <v>8.9566542577306604E-2</v>
      </c>
      <c r="AI102" s="5">
        <v>0.15631217839094499</v>
      </c>
      <c r="AJ102" s="5">
        <v>0.56253562772185095</v>
      </c>
      <c r="AK102" s="5">
        <v>-0.27685973195026498</v>
      </c>
      <c r="AL102" s="5">
        <v>0.19638942156181199</v>
      </c>
      <c r="AM102" s="5">
        <v>2.0622690186471599E-4</v>
      </c>
      <c r="AN102" s="5">
        <v>-5.9039135045951603E-2</v>
      </c>
      <c r="AO102" s="5">
        <v>0.230274553107013</v>
      </c>
      <c r="AP102" s="5">
        <v>-8.9377992290920003E-3</v>
      </c>
      <c r="AQ102" s="5">
        <v>3.7152758666091801E-2</v>
      </c>
      <c r="AR102" s="5">
        <v>0.473471603880954</v>
      </c>
      <c r="AS102" s="5">
        <v>-0.26386010638791202</v>
      </c>
      <c r="AT102" s="5">
        <v>0.22986889012530301</v>
      </c>
      <c r="AU102" s="5">
        <v>-7.1694358492430804E-2</v>
      </c>
      <c r="AV102" s="5">
        <v>0.65247073492526697</v>
      </c>
      <c r="AW102" s="5">
        <v>-0.43797808124647503</v>
      </c>
      <c r="AX102" s="5">
        <v>0.55276986574408904</v>
      </c>
      <c r="AY102" s="5">
        <v>-0.28199855131686302</v>
      </c>
      <c r="AZ102" s="5">
        <v>0.36632400464937698</v>
      </c>
      <c r="BA102" s="5">
        <v>-0.23225886442629501</v>
      </c>
      <c r="BB102" s="5">
        <v>0.46116999545842202</v>
      </c>
      <c r="BC102" s="5">
        <v>-0.141031880762991</v>
      </c>
      <c r="BD102" s="5">
        <v>0.18357471761394001</v>
      </c>
      <c r="BE102" s="5">
        <v>0.152832066979805</v>
      </c>
      <c r="BF102" s="5">
        <v>0.48534428032045002</v>
      </c>
      <c r="BG102" s="5">
        <v>-0.223886306682928</v>
      </c>
      <c r="BH102" s="5">
        <v>0.56723877175109705</v>
      </c>
      <c r="BI102" s="5">
        <v>-0.30319048634043599</v>
      </c>
      <c r="BJ102" s="5">
        <v>-0.278709899189093</v>
      </c>
      <c r="BK102" s="5">
        <v>0.201788241164405</v>
      </c>
      <c r="BL102" s="5">
        <v>-0.14005414316636</v>
      </c>
      <c r="BM102" s="5">
        <v>0.168527246325089</v>
      </c>
      <c r="BN102" s="5">
        <v>-4.6278281277948301E-2</v>
      </c>
      <c r="BO102" s="5">
        <v>0.17122187592629401</v>
      </c>
      <c r="BP102" s="5">
        <v>-0.14238930796389801</v>
      </c>
      <c r="BQ102" s="5">
        <v>0.31562102359681699</v>
      </c>
      <c r="BR102" s="5">
        <v>0.51682062716074295</v>
      </c>
      <c r="BS102" s="5">
        <v>-0.29726772780037403</v>
      </c>
      <c r="BT102" s="5">
        <v>0.66322516612333604</v>
      </c>
      <c r="BU102" s="5">
        <v>-0.42579846853202402</v>
      </c>
      <c r="BV102" s="5">
        <v>0.49082337690456701</v>
      </c>
      <c r="BW102" s="5">
        <v>-0.18392760182913601</v>
      </c>
      <c r="BX102" s="5">
        <v>0.49454227524312</v>
      </c>
      <c r="BY102" s="5">
        <v>-0.25755276733395199</v>
      </c>
      <c r="BZ102" s="5">
        <v>0.515083421121312</v>
      </c>
      <c r="CA102" s="5">
        <v>-0.23494359648128199</v>
      </c>
      <c r="CB102" s="5">
        <v>0.26171765799977198</v>
      </c>
      <c r="CC102" s="5">
        <v>-0.104138578250664</v>
      </c>
      <c r="CD102" s="5">
        <v>0.13821806488957999</v>
      </c>
      <c r="CE102" s="5">
        <v>3.8272063107501197E-2</v>
      </c>
      <c r="CF102" s="5">
        <v>0.39616611476061703</v>
      </c>
      <c r="CG102" s="5">
        <v>-0.23004393690174299</v>
      </c>
      <c r="CH102" s="5">
        <v>0.17888122478330601</v>
      </c>
      <c r="CI102" s="5">
        <v>-4.1869403081234401E-2</v>
      </c>
      <c r="CJ102" s="5">
        <v>0.37099221073625099</v>
      </c>
      <c r="CK102" s="5">
        <v>-0.14658222659452799</v>
      </c>
      <c r="CL102" s="5">
        <v>-6.1893863876164801E-2</v>
      </c>
      <c r="CM102" s="5">
        <v>0.146931025333954</v>
      </c>
      <c r="CN102" s="5">
        <v>-2.9365273740791401E-2</v>
      </c>
      <c r="CO102" s="5">
        <v>0.13801552881644899</v>
      </c>
      <c r="CP102" s="5">
        <v>0.32681321246844203</v>
      </c>
      <c r="CQ102" s="5">
        <v>-0.127788947920396</v>
      </c>
      <c r="CR102" s="5">
        <v>0.236457140200553</v>
      </c>
      <c r="CS102" s="5">
        <v>-6.1960474861953101E-2</v>
      </c>
      <c r="CT102" s="5">
        <v>7.7427456223035001E-3</v>
      </c>
      <c r="CU102" s="5">
        <v>2.3604199669128099E-2</v>
      </c>
      <c r="CV102" s="5">
        <v>0.33454542715774699</v>
      </c>
      <c r="CW102" s="5">
        <v>-0.13158976757583599</v>
      </c>
      <c r="CX102" s="5">
        <v>1</v>
      </c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</row>
    <row r="103" spans="1:389" x14ac:dyDescent="0.45">
      <c r="A103" s="4" t="str">
        <f ca="1">"DZA / beta2dist in "&amp;CELL("address",'damages-1990'!$K$52)</f>
        <v>DZA / beta2dist in '[BHM betas v3pd.xlsx]damages-1990'!$K$52</v>
      </c>
      <c r="B103" s="6">
        <v>-0.201515151221797</v>
      </c>
      <c r="C103" s="5">
        <v>0.32029848853563703</v>
      </c>
      <c r="D103" s="5">
        <v>-0.12620703266377301</v>
      </c>
      <c r="E103" s="5">
        <v>0.297859110885481</v>
      </c>
      <c r="F103" s="5">
        <v>-2.9406732123575401E-2</v>
      </c>
      <c r="G103" s="5">
        <v>4.0229497685966203E-2</v>
      </c>
      <c r="H103" s="5">
        <v>7.57124546213616E-2</v>
      </c>
      <c r="I103" s="5">
        <v>-0.146136907283238</v>
      </c>
      <c r="J103" s="5">
        <v>-0.229921354125602</v>
      </c>
      <c r="K103" s="5">
        <v>0.39459919992376502</v>
      </c>
      <c r="L103" s="5">
        <v>-0.197845557452732</v>
      </c>
      <c r="M103" s="5">
        <v>0.29450447767077798</v>
      </c>
      <c r="N103" s="5">
        <v>0.24316013675652401</v>
      </c>
      <c r="O103" s="5">
        <v>-0.37633242426680102</v>
      </c>
      <c r="P103" s="5">
        <v>-0.17562670357364901</v>
      </c>
      <c r="Q103" s="5">
        <v>0.274609239305522</v>
      </c>
      <c r="R103" s="5">
        <v>-0.14087039886905101</v>
      </c>
      <c r="S103" s="5">
        <v>0.29307086832222401</v>
      </c>
      <c r="T103" s="5">
        <v>-1.1517960796222601E-2</v>
      </c>
      <c r="U103" s="5">
        <v>-3.0488639331728198E-2</v>
      </c>
      <c r="V103" s="5">
        <v>-7.6817888263212E-3</v>
      </c>
      <c r="W103" s="5">
        <v>-3.7077073292422699E-2</v>
      </c>
      <c r="X103" s="5">
        <v>-5.6808599246978703E-2</v>
      </c>
      <c r="Y103" s="5">
        <v>0.190354474941857</v>
      </c>
      <c r="Z103" s="5">
        <v>-6.2948763162672103E-2</v>
      </c>
      <c r="AA103" s="5">
        <v>6.7789061931782302E-2</v>
      </c>
      <c r="AB103" s="5">
        <v>-0.39224099743392399</v>
      </c>
      <c r="AC103" s="5">
        <v>0.62625705939863896</v>
      </c>
      <c r="AD103" s="5">
        <v>-0.45754582287655199</v>
      </c>
      <c r="AE103" s="5">
        <v>0.64875612077677902</v>
      </c>
      <c r="AF103" s="5">
        <v>-0.206369653787111</v>
      </c>
      <c r="AG103" s="5">
        <v>0.374959910997826</v>
      </c>
      <c r="AH103" s="5">
        <v>-3.3830955786857101E-3</v>
      </c>
      <c r="AI103" s="5">
        <v>-9.43561534485933E-3</v>
      </c>
      <c r="AJ103" s="5">
        <v>-0.28554800204498898</v>
      </c>
      <c r="AK103" s="5">
        <v>0.453898630854147</v>
      </c>
      <c r="AL103" s="5">
        <v>0.20194319395018201</v>
      </c>
      <c r="AM103" s="5">
        <v>-0.161131327722325</v>
      </c>
      <c r="AN103" s="5">
        <v>4.6731736439952397E-2</v>
      </c>
      <c r="AO103" s="5">
        <v>-8.4512017212174606E-2</v>
      </c>
      <c r="AP103" s="5">
        <v>-0.204909046219522</v>
      </c>
      <c r="AQ103" s="5">
        <v>0.21054113678455</v>
      </c>
      <c r="AR103" s="5">
        <v>-0.109449465196595</v>
      </c>
      <c r="AS103" s="5">
        <v>0.27779101797164801</v>
      </c>
      <c r="AT103" s="5">
        <v>0.118757414032665</v>
      </c>
      <c r="AU103" s="5">
        <v>-3.7297132462219398E-2</v>
      </c>
      <c r="AV103" s="5">
        <v>-0.25264764925560801</v>
      </c>
      <c r="AW103" s="5">
        <v>0.54969034447563103</v>
      </c>
      <c r="AX103" s="5">
        <v>-0.155530256482765</v>
      </c>
      <c r="AY103" s="5">
        <v>0.375916474134183</v>
      </c>
      <c r="AZ103" s="5">
        <v>-0.249545407852622</v>
      </c>
      <c r="BA103" s="5">
        <v>0.38930514312320702</v>
      </c>
      <c r="BB103" s="5">
        <v>-8.7255560580618105E-2</v>
      </c>
      <c r="BC103" s="5">
        <v>0.25875003292996002</v>
      </c>
      <c r="BD103" s="5">
        <v>-0.139677654269139</v>
      </c>
      <c r="BE103" s="5">
        <v>0.209504049260653</v>
      </c>
      <c r="BF103" s="5">
        <v>-0.20396164887203</v>
      </c>
      <c r="BG103" s="5">
        <v>0.35000993070599301</v>
      </c>
      <c r="BH103" s="5">
        <v>-0.23784289269904299</v>
      </c>
      <c r="BI103" s="5">
        <v>0.468341726601119</v>
      </c>
      <c r="BJ103" s="5">
        <v>-8.6369975800051693E-3</v>
      </c>
      <c r="BK103" s="5">
        <v>-0.13865075416002501</v>
      </c>
      <c r="BL103" s="5">
        <v>-3.9108044402612696E-3</v>
      </c>
      <c r="BM103" s="5">
        <v>-6.0468347041828498E-2</v>
      </c>
      <c r="BN103" s="5">
        <v>3.71387371355335E-3</v>
      </c>
      <c r="BO103" s="5">
        <v>-5.79358288806067E-2</v>
      </c>
      <c r="BP103" s="5">
        <v>1.9648270648398001E-2</v>
      </c>
      <c r="BQ103" s="5">
        <v>-0.12391240712575601</v>
      </c>
      <c r="BR103" s="5">
        <v>-0.36365173865376099</v>
      </c>
      <c r="BS103" s="5">
        <v>0.55172344439776699</v>
      </c>
      <c r="BT103" s="5">
        <v>-0.31453380601041803</v>
      </c>
      <c r="BU103" s="5">
        <v>0.59814126654984501</v>
      </c>
      <c r="BV103" s="5">
        <v>-0.16210274673415301</v>
      </c>
      <c r="BW103" s="5">
        <v>0.35514061680838999</v>
      </c>
      <c r="BX103" s="5">
        <v>-0.195890406699359</v>
      </c>
      <c r="BY103" s="5">
        <v>0.41492413766403302</v>
      </c>
      <c r="BZ103" s="5">
        <v>-0.19412119125535099</v>
      </c>
      <c r="CA103" s="5">
        <v>0.36604704771368202</v>
      </c>
      <c r="CB103" s="5">
        <v>2.93627283796556E-2</v>
      </c>
      <c r="CC103" s="5">
        <v>0.14475532753189799</v>
      </c>
      <c r="CD103" s="5">
        <v>2.8714407358646998E-2</v>
      </c>
      <c r="CE103" s="5">
        <v>7.9843618154390006E-2</v>
      </c>
      <c r="CF103" s="5">
        <v>-0.193055473691362</v>
      </c>
      <c r="CG103" s="5">
        <v>0.350234462098657</v>
      </c>
      <c r="CH103" s="5">
        <v>0.21941568922150601</v>
      </c>
      <c r="CI103" s="5">
        <v>-0.13029935713688301</v>
      </c>
      <c r="CJ103" s="5">
        <v>-0.13639625636168501</v>
      </c>
      <c r="CK103" s="5">
        <v>0.215221319846646</v>
      </c>
      <c r="CL103" s="5">
        <v>-1.3354204863225101E-2</v>
      </c>
      <c r="CM103" s="5">
        <v>-1.5917629886119399E-2</v>
      </c>
      <c r="CN103" s="5">
        <v>-3.2818921147009003E-2</v>
      </c>
      <c r="CO103" s="5">
        <v>1.26679409011651E-2</v>
      </c>
      <c r="CP103" s="5">
        <v>-0.21601220940246499</v>
      </c>
      <c r="CQ103" s="5">
        <v>0.33936415600860098</v>
      </c>
      <c r="CR103" s="5">
        <v>-0.110784335096852</v>
      </c>
      <c r="CS103" s="5">
        <v>0.23180497783689799</v>
      </c>
      <c r="CT103" s="5">
        <v>-0.127914175189347</v>
      </c>
      <c r="CU103" s="5">
        <v>0.13870010075731201</v>
      </c>
      <c r="CV103" s="5">
        <v>-0.17884349942016101</v>
      </c>
      <c r="CW103" s="5">
        <v>0.29166812559140598</v>
      </c>
      <c r="CX103" s="5">
        <v>-0.75727104401481704</v>
      </c>
      <c r="CY103" s="5">
        <v>1</v>
      </c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</row>
    <row r="104" spans="1:389" x14ac:dyDescent="0.45">
      <c r="A104" s="4" t="str">
        <f ca="1">"ECU / beta1dist in "&amp;CELL("address",'damages-1990'!$J$53)</f>
        <v>ECU / beta1dist in '[BHM betas v3pd.xlsx]damages-1990'!$J$53</v>
      </c>
      <c r="B104" s="6">
        <v>0.18454337689826</v>
      </c>
      <c r="C104" s="5">
        <v>0.208492842456549</v>
      </c>
      <c r="D104" s="5">
        <v>0.71639234484333703</v>
      </c>
      <c r="E104" s="5">
        <v>-0.44085932190122901</v>
      </c>
      <c r="F104" s="5">
        <v>0.17768053970810899</v>
      </c>
      <c r="G104" s="5">
        <v>5.2819422020580702E-2</v>
      </c>
      <c r="H104" s="5">
        <v>-9.3946941191751607E-2</v>
      </c>
      <c r="I104" s="5">
        <v>5.2877615985034598E-2</v>
      </c>
      <c r="J104" s="5">
        <v>0.44673958604077801</v>
      </c>
      <c r="K104" s="5">
        <v>-0.113888302110629</v>
      </c>
      <c r="L104" s="5">
        <v>0.327724291205509</v>
      </c>
      <c r="M104" s="5">
        <v>1.8482324739999299E-2</v>
      </c>
      <c r="N104" s="5">
        <v>0.123885569458102</v>
      </c>
      <c r="O104" s="5">
        <v>-0.13766258527043199</v>
      </c>
      <c r="P104" s="5">
        <v>0.43273188533777301</v>
      </c>
      <c r="Q104" s="5">
        <v>-0.25232780644037001</v>
      </c>
      <c r="R104" s="5">
        <v>0.58902983173658396</v>
      </c>
      <c r="S104" s="5">
        <v>-0.34514865943626999</v>
      </c>
      <c r="T104" s="5">
        <v>3.7829028836147199E-3</v>
      </c>
      <c r="U104" s="5">
        <v>-2.6624656426303E-2</v>
      </c>
      <c r="V104" s="5">
        <v>0.17543796398372899</v>
      </c>
      <c r="W104" s="5">
        <v>0.21848432274239199</v>
      </c>
      <c r="X104" s="5">
        <v>0.74495621251143695</v>
      </c>
      <c r="Y104" s="5">
        <v>-0.45734869695591002</v>
      </c>
      <c r="Z104" s="5">
        <v>6.7661331688132306E-2</v>
      </c>
      <c r="AA104" s="5">
        <v>3.8075021805036798E-4</v>
      </c>
      <c r="AB104" s="5">
        <v>0.62948030601332206</v>
      </c>
      <c r="AC104" s="5">
        <v>-0.40775237424003102</v>
      </c>
      <c r="AD104" s="5">
        <v>0.45566619085246701</v>
      </c>
      <c r="AE104" s="5">
        <v>-0.201442633902611</v>
      </c>
      <c r="AF104" s="5">
        <v>0.30866841901110897</v>
      </c>
      <c r="AG104" s="5">
        <v>-3.2557117235853403E-2</v>
      </c>
      <c r="AH104" s="5">
        <v>0.16231186078244</v>
      </c>
      <c r="AI104" s="5">
        <v>1.54692947026313E-2</v>
      </c>
      <c r="AJ104" s="5">
        <v>0.39990051691588602</v>
      </c>
      <c r="AK104" s="5">
        <v>-5.4813587425135098E-2</v>
      </c>
      <c r="AL104" s="5">
        <v>0.44318057826826501</v>
      </c>
      <c r="AM104" s="5">
        <v>-0.26999715927492202</v>
      </c>
      <c r="AN104" s="5">
        <v>9.7056203592389506E-2</v>
      </c>
      <c r="AO104" s="5">
        <v>-7.7070209947362996E-3</v>
      </c>
      <c r="AP104" s="5">
        <v>-3.7341885174697498E-2</v>
      </c>
      <c r="AQ104" s="5">
        <v>1.8204896647864999E-2</v>
      </c>
      <c r="AR104" s="5">
        <v>0.52977175208498495</v>
      </c>
      <c r="AS104" s="5">
        <v>-0.32315202024822098</v>
      </c>
      <c r="AT104" s="5">
        <v>0.17744013248863899</v>
      </c>
      <c r="AU104" s="5">
        <v>8.6403236368468694E-2</v>
      </c>
      <c r="AV104" s="5">
        <v>0.65448245130037297</v>
      </c>
      <c r="AW104" s="5">
        <v>-0.42797481007340399</v>
      </c>
      <c r="AX104" s="5">
        <v>0.71467930297925997</v>
      </c>
      <c r="AY104" s="5">
        <v>-0.52594865487822795</v>
      </c>
      <c r="AZ104" s="5">
        <v>0.40903636721310099</v>
      </c>
      <c r="BA104" s="5">
        <v>-0.22864768307139399</v>
      </c>
      <c r="BB104" s="5">
        <v>0.58668234053381096</v>
      </c>
      <c r="BC104" s="5">
        <v>-0.26576527492863</v>
      </c>
      <c r="BD104" s="5">
        <v>4.8063109456889498E-2</v>
      </c>
      <c r="BE104" s="5">
        <v>0.31944302474925101</v>
      </c>
      <c r="BF104" s="5">
        <v>0.48324113130488899</v>
      </c>
      <c r="BG104" s="5">
        <v>-0.22489777125500601</v>
      </c>
      <c r="BH104" s="5">
        <v>0.69751324550360405</v>
      </c>
      <c r="BI104" s="5">
        <v>-0.444297109756359</v>
      </c>
      <c r="BJ104" s="5">
        <v>-0.36602937771211302</v>
      </c>
      <c r="BK104" s="5">
        <v>0.32007942242809401</v>
      </c>
      <c r="BL104" s="5">
        <v>2.4494300934033E-2</v>
      </c>
      <c r="BM104" s="5">
        <v>-8.5973003169523499E-2</v>
      </c>
      <c r="BN104" s="5">
        <v>-0.118244379860329</v>
      </c>
      <c r="BO104" s="5">
        <v>0.25186574531009798</v>
      </c>
      <c r="BP104" s="5">
        <v>-0.151327470710787</v>
      </c>
      <c r="BQ104" s="5">
        <v>0.32793016513859602</v>
      </c>
      <c r="BR104" s="5">
        <v>0.59141222953485095</v>
      </c>
      <c r="BS104" s="5">
        <v>-0.359335908267851</v>
      </c>
      <c r="BT104" s="5">
        <v>0.65890845581678903</v>
      </c>
      <c r="BU104" s="5">
        <v>-0.42121230555632</v>
      </c>
      <c r="BV104" s="5">
        <v>0.75393503459803501</v>
      </c>
      <c r="BW104" s="5">
        <v>-0.495036406283974</v>
      </c>
      <c r="BX104" s="5">
        <v>0.74948879634969001</v>
      </c>
      <c r="BY104" s="5">
        <v>-0.54926610433105105</v>
      </c>
      <c r="BZ104" s="5">
        <v>0.84258639712134098</v>
      </c>
      <c r="CA104" s="5">
        <v>-0.63363292174696295</v>
      </c>
      <c r="CB104" s="5">
        <v>0.667686974780203</v>
      </c>
      <c r="CC104" s="5">
        <v>-0.50506720986366205</v>
      </c>
      <c r="CD104" s="5">
        <v>0.26011226850727698</v>
      </c>
      <c r="CE104" s="5">
        <v>-2.4812997546163298E-2</v>
      </c>
      <c r="CF104" s="5">
        <v>0.64082359216704898</v>
      </c>
      <c r="CG104" s="5">
        <v>-0.43505017855908901</v>
      </c>
      <c r="CH104" s="5">
        <v>0.41397444792135801</v>
      </c>
      <c r="CI104" s="5">
        <v>-0.26475909008167298</v>
      </c>
      <c r="CJ104" s="5">
        <v>0.162350935805959</v>
      </c>
      <c r="CK104" s="5">
        <v>4.4109730617910098E-2</v>
      </c>
      <c r="CL104" s="5">
        <v>2.9241333151509501E-2</v>
      </c>
      <c r="CM104" s="5">
        <v>-9.2943256565115994E-3</v>
      </c>
      <c r="CN104" s="5">
        <v>5.4610567541416501E-2</v>
      </c>
      <c r="CO104" s="5">
        <v>-1.5072003712492101E-2</v>
      </c>
      <c r="CP104" s="5">
        <v>0.43822611847047699</v>
      </c>
      <c r="CQ104" s="5">
        <v>-0.200288352784255</v>
      </c>
      <c r="CR104" s="5">
        <v>0.46037172903108903</v>
      </c>
      <c r="CS104" s="5">
        <v>-0.26419041167844898</v>
      </c>
      <c r="CT104" s="5">
        <v>4.2565453185758502E-2</v>
      </c>
      <c r="CU104" s="5">
        <v>-5.2734903723302397E-2</v>
      </c>
      <c r="CV104" s="5">
        <v>0.52883604042885002</v>
      </c>
      <c r="CW104" s="5">
        <v>-0.33380743252111</v>
      </c>
      <c r="CX104" s="5">
        <v>0.43145522607765202</v>
      </c>
      <c r="CY104" s="5">
        <v>-0.12456452268269</v>
      </c>
      <c r="CZ104" s="5">
        <v>1</v>
      </c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</row>
    <row r="105" spans="1:389" x14ac:dyDescent="0.45">
      <c r="A105" s="4" t="str">
        <f ca="1">"ECU / beta2dist in "&amp;CELL("address",'damages-1990'!$K$53)</f>
        <v>ECU / beta2dist in '[BHM betas v3pd.xlsx]damages-1990'!$K$53</v>
      </c>
      <c r="B105" s="6">
        <v>-4.2102326260898701E-2</v>
      </c>
      <c r="C105" s="5">
        <v>3.3167770449304398E-2</v>
      </c>
      <c r="D105" s="5">
        <v>-0.49432033128647301</v>
      </c>
      <c r="E105" s="5">
        <v>0.69284614974238301</v>
      </c>
      <c r="F105" s="5">
        <v>-6.9634397110853494E-2</v>
      </c>
      <c r="G105" s="5">
        <v>7.9824749252169494E-2</v>
      </c>
      <c r="H105" s="5">
        <v>-3.9477485622767899E-2</v>
      </c>
      <c r="I105" s="5">
        <v>2.6706482400912401E-2</v>
      </c>
      <c r="J105" s="5">
        <v>-0.146112801168229</v>
      </c>
      <c r="K105" s="5">
        <v>0.22117620682825601</v>
      </c>
      <c r="L105" s="5">
        <v>-2.5881264657576799E-3</v>
      </c>
      <c r="M105" s="5">
        <v>-2.33189669262387E-2</v>
      </c>
      <c r="N105" s="5">
        <v>-0.208804255342628</v>
      </c>
      <c r="O105" s="5">
        <v>0.246593995032651</v>
      </c>
      <c r="P105" s="5">
        <v>-0.48730884615869102</v>
      </c>
      <c r="Q105" s="5">
        <v>0.54888745490490698</v>
      </c>
      <c r="R105" s="5">
        <v>-0.29250395146616498</v>
      </c>
      <c r="S105" s="5">
        <v>0.50319371018257297</v>
      </c>
      <c r="T105" s="5">
        <v>-0.17926559778663101</v>
      </c>
      <c r="U105" s="5">
        <v>0.220695264620345</v>
      </c>
      <c r="V105" s="5">
        <v>2.2486538523210298E-2</v>
      </c>
      <c r="W105" s="5">
        <v>-9.1908031942945306E-2</v>
      </c>
      <c r="X105" s="5">
        <v>-0.56250357866209799</v>
      </c>
      <c r="Y105" s="5">
        <v>0.71314584768505795</v>
      </c>
      <c r="Z105" s="5">
        <v>-0.132609660897686</v>
      </c>
      <c r="AA105" s="5">
        <v>0.17569166998956601</v>
      </c>
      <c r="AB105" s="5">
        <v>-0.45685850528660399</v>
      </c>
      <c r="AC105" s="5">
        <v>0.62292828058115401</v>
      </c>
      <c r="AD105" s="5">
        <v>-0.312794939889813</v>
      </c>
      <c r="AE105" s="5">
        <v>0.455522244191298</v>
      </c>
      <c r="AF105" s="5">
        <v>-4.6703726526183702E-2</v>
      </c>
      <c r="AG105" s="5">
        <v>0.12736735142222599</v>
      </c>
      <c r="AH105" s="5">
        <v>-0.112066854057119</v>
      </c>
      <c r="AI105" s="5">
        <v>0.13612556227586101</v>
      </c>
      <c r="AJ105" s="5">
        <v>-0.14076410042923099</v>
      </c>
      <c r="AK105" s="5">
        <v>0.17125726421792101</v>
      </c>
      <c r="AL105" s="5">
        <v>-0.112039790581748</v>
      </c>
      <c r="AM105" s="5">
        <v>0.144908950012025</v>
      </c>
      <c r="AN105" s="5">
        <v>-0.16937881542856301</v>
      </c>
      <c r="AO105" s="5">
        <v>0.20953796932904001</v>
      </c>
      <c r="AP105" s="5">
        <v>-0.122988801229529</v>
      </c>
      <c r="AQ105" s="5">
        <v>0.17518531204429799</v>
      </c>
      <c r="AR105" s="5">
        <v>-0.25004984038502898</v>
      </c>
      <c r="AS105" s="5">
        <v>0.390620072089438</v>
      </c>
      <c r="AT105" s="5">
        <v>0.171795435870922</v>
      </c>
      <c r="AU105" s="5">
        <v>-0.245162233756821</v>
      </c>
      <c r="AV105" s="5">
        <v>-0.30163500077540401</v>
      </c>
      <c r="AW105" s="5">
        <v>0.54501913501335597</v>
      </c>
      <c r="AX105" s="5">
        <v>-0.40331305201786599</v>
      </c>
      <c r="AY105" s="5">
        <v>0.688708345353792</v>
      </c>
      <c r="AZ105" s="5">
        <v>-0.39416049955817001</v>
      </c>
      <c r="BA105" s="5">
        <v>0.44697966239946202</v>
      </c>
      <c r="BB105" s="5">
        <v>-0.274755591167685</v>
      </c>
      <c r="BC105" s="5">
        <v>0.405225422841198</v>
      </c>
      <c r="BD105" s="5">
        <v>6.8721325010805495E-5</v>
      </c>
      <c r="BE105" s="5">
        <v>-2.6499794985569699E-2</v>
      </c>
      <c r="BF105" s="5">
        <v>-0.289995369971629</v>
      </c>
      <c r="BG105" s="5">
        <v>0.40356936488735901</v>
      </c>
      <c r="BH105" s="5">
        <v>-0.45913190469182302</v>
      </c>
      <c r="BI105" s="5">
        <v>0.66744945439858605</v>
      </c>
      <c r="BJ105" s="5">
        <v>0.112596677115159</v>
      </c>
      <c r="BK105" s="5">
        <v>-0.26137854662318399</v>
      </c>
      <c r="BL105" s="5">
        <v>-0.22411545025325799</v>
      </c>
      <c r="BM105" s="5">
        <v>0.273649505022454</v>
      </c>
      <c r="BN105" s="5">
        <v>3.8119552813413102E-2</v>
      </c>
      <c r="BO105" s="5">
        <v>-0.11238099230922199</v>
      </c>
      <c r="BP105" s="5">
        <v>6.8073525980667599E-2</v>
      </c>
      <c r="BQ105" s="5">
        <v>-0.214780392786347</v>
      </c>
      <c r="BR105" s="5">
        <v>-0.49426614210299402</v>
      </c>
      <c r="BS105" s="5">
        <v>0.64473909709084598</v>
      </c>
      <c r="BT105" s="5">
        <v>-0.38091008417065603</v>
      </c>
      <c r="BU105" s="5">
        <v>0.62534851159793503</v>
      </c>
      <c r="BV105" s="5">
        <v>-0.51480396471992496</v>
      </c>
      <c r="BW105" s="5">
        <v>0.72415967840302098</v>
      </c>
      <c r="BX105" s="5">
        <v>-0.51012142160354501</v>
      </c>
      <c r="BY105" s="5">
        <v>0.74044320242490103</v>
      </c>
      <c r="BZ105" s="5">
        <v>-0.59326881123368702</v>
      </c>
      <c r="CA105" s="5">
        <v>0.82354406505238897</v>
      </c>
      <c r="CB105" s="5">
        <v>-0.46921060061314801</v>
      </c>
      <c r="CC105" s="5">
        <v>0.62041990416755699</v>
      </c>
      <c r="CD105" s="5">
        <v>-0.15720095712137</v>
      </c>
      <c r="CE105" s="5">
        <v>0.17801756446499001</v>
      </c>
      <c r="CF105" s="5">
        <v>-0.54406850647387395</v>
      </c>
      <c r="CG105" s="5">
        <v>0.64134796986697395</v>
      </c>
      <c r="CH105" s="5">
        <v>-0.10104060017993299</v>
      </c>
      <c r="CI105" s="5">
        <v>0.15297192131866599</v>
      </c>
      <c r="CJ105" s="5">
        <v>6.2116689647957198E-2</v>
      </c>
      <c r="CK105" s="5">
        <v>-4.0915271179180798E-2</v>
      </c>
      <c r="CL105" s="5">
        <v>-0.138879411893157</v>
      </c>
      <c r="CM105" s="5">
        <v>0.176411332672545</v>
      </c>
      <c r="CN105" s="5">
        <v>-0.141572197290703</v>
      </c>
      <c r="CO105" s="5">
        <v>0.18172553222334201</v>
      </c>
      <c r="CP105" s="5">
        <v>-0.352107896054495</v>
      </c>
      <c r="CQ105" s="5">
        <v>0.41597265093576802</v>
      </c>
      <c r="CR105" s="5">
        <v>-0.492328352217488</v>
      </c>
      <c r="CS105" s="5">
        <v>0.55223935425169501</v>
      </c>
      <c r="CT105" s="5">
        <v>-0.15832210878156</v>
      </c>
      <c r="CU105" s="5">
        <v>0.20247602089613401</v>
      </c>
      <c r="CV105" s="5">
        <v>-0.45728411760545701</v>
      </c>
      <c r="CW105" s="5">
        <v>0.54389918360909895</v>
      </c>
      <c r="CX105" s="5">
        <v>-0.16659895285541501</v>
      </c>
      <c r="CY105" s="5">
        <v>0.27291345604579398</v>
      </c>
      <c r="CZ105" s="5">
        <v>-0.79811731855389101</v>
      </c>
      <c r="DA105" s="5">
        <v>1</v>
      </c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</row>
    <row r="106" spans="1:389" x14ac:dyDescent="0.45">
      <c r="A106" s="4" t="str">
        <f ca="1">"EGY / beta1dist in "&amp;CELL("address",'damages-1990'!$J$54)</f>
        <v>EGY / beta1dist in '[BHM betas v3pd.xlsx]damages-1990'!$J$54</v>
      </c>
      <c r="B106" s="6">
        <v>0.28491411904911501</v>
      </c>
      <c r="C106" s="5">
        <v>0.128569918045083</v>
      </c>
      <c r="D106" s="5">
        <v>0.39670818971096</v>
      </c>
      <c r="E106" s="5">
        <v>-2.11167543371279E-2</v>
      </c>
      <c r="F106" s="5">
        <v>0.18970653812917901</v>
      </c>
      <c r="G106" s="5">
        <v>0.10977988541079001</v>
      </c>
      <c r="H106" s="5">
        <v>-0.16397446979827801</v>
      </c>
      <c r="I106" s="5">
        <v>0.18125587275951999</v>
      </c>
      <c r="J106" s="5">
        <v>0.46792986398459402</v>
      </c>
      <c r="K106" s="5">
        <v>-9.4433610183059E-2</v>
      </c>
      <c r="L106" s="5">
        <v>0.38150038271013298</v>
      </c>
      <c r="M106" s="5">
        <v>-4.7447432656373403E-3</v>
      </c>
      <c r="N106" s="5">
        <v>-0.211293662237313</v>
      </c>
      <c r="O106" s="5">
        <v>0.329592955989081</v>
      </c>
      <c r="P106" s="5">
        <v>0.28067368789765701</v>
      </c>
      <c r="Q106" s="5">
        <v>-5.3639654410953197E-2</v>
      </c>
      <c r="R106" s="5">
        <v>0.53462447697010496</v>
      </c>
      <c r="S106" s="5">
        <v>-0.19947016608090401</v>
      </c>
      <c r="T106" s="5">
        <v>-0.19000315650577501</v>
      </c>
      <c r="U106" s="5">
        <v>0.23906589171303</v>
      </c>
      <c r="V106" s="5">
        <v>0.26831682081116398</v>
      </c>
      <c r="W106" s="5">
        <v>0.182627460295015</v>
      </c>
      <c r="X106" s="5">
        <v>0.44065382589241398</v>
      </c>
      <c r="Y106" s="5">
        <v>-5.2279562934726999E-2</v>
      </c>
      <c r="Z106" s="5">
        <v>-2.8790091327534702E-3</v>
      </c>
      <c r="AA106" s="5">
        <v>0.16799330292794501</v>
      </c>
      <c r="AB106" s="5">
        <v>0.40987371591628702</v>
      </c>
      <c r="AC106" s="5">
        <v>-0.17633571377677501</v>
      </c>
      <c r="AD106" s="5">
        <v>0.38647423398672698</v>
      </c>
      <c r="AE106" s="5">
        <v>-0.108974505304824</v>
      </c>
      <c r="AF106" s="5">
        <v>0.361912912866035</v>
      </c>
      <c r="AG106" s="5">
        <v>-4.5101931792751203E-2</v>
      </c>
      <c r="AH106" s="5">
        <v>8.5772747726118301E-2</v>
      </c>
      <c r="AI106" s="5">
        <v>0.18860286211308</v>
      </c>
      <c r="AJ106" s="5">
        <v>0.40494301418741702</v>
      </c>
      <c r="AK106" s="5">
        <v>-5.0355123403823199E-2</v>
      </c>
      <c r="AL106" s="5">
        <v>0.21061688808944301</v>
      </c>
      <c r="AM106" s="5">
        <v>2.9240315950167801E-2</v>
      </c>
      <c r="AN106" s="5">
        <v>-7.6733672924045704E-2</v>
      </c>
      <c r="AO106" s="5">
        <v>0.26775855575007801</v>
      </c>
      <c r="AP106" s="5">
        <v>-0.112144554213543</v>
      </c>
      <c r="AQ106" s="5">
        <v>0.132783399692672</v>
      </c>
      <c r="AR106" s="5">
        <v>0.260414861765705</v>
      </c>
      <c r="AS106" s="5">
        <v>1.49257849461156E-2</v>
      </c>
      <c r="AT106" s="5">
        <v>0.201121906009852</v>
      </c>
      <c r="AU106" s="5">
        <v>-1.5767362030654701E-2</v>
      </c>
      <c r="AV106" s="5">
        <v>0.59086723517937501</v>
      </c>
      <c r="AW106" s="5">
        <v>-0.318215677365633</v>
      </c>
      <c r="AX106" s="5">
        <v>0.44608536997515202</v>
      </c>
      <c r="AY106" s="5">
        <v>-0.102591143285459</v>
      </c>
      <c r="AZ106" s="5">
        <v>0.253750262553599</v>
      </c>
      <c r="BA106" s="5">
        <v>-7.8201906965188403E-2</v>
      </c>
      <c r="BB106" s="5">
        <v>0.32303017458709699</v>
      </c>
      <c r="BC106" s="5">
        <v>6.4520364764076396E-2</v>
      </c>
      <c r="BD106" s="5">
        <v>0.14960077050165499</v>
      </c>
      <c r="BE106" s="5">
        <v>0.23046997346411</v>
      </c>
      <c r="BF106" s="5">
        <v>0.33426229528721702</v>
      </c>
      <c r="BG106" s="5">
        <v>-3.8495734398188097E-2</v>
      </c>
      <c r="BH106" s="5">
        <v>0.38366956935336</v>
      </c>
      <c r="BI106" s="5">
        <v>-6.4721027880681403E-2</v>
      </c>
      <c r="BJ106" s="5">
        <v>-0.31763526985566398</v>
      </c>
      <c r="BK106" s="5">
        <v>0.197813227725185</v>
      </c>
      <c r="BL106" s="5">
        <v>-0.22594478153102099</v>
      </c>
      <c r="BM106" s="5">
        <v>0.26473719460720002</v>
      </c>
      <c r="BN106" s="5">
        <v>5.52857204834395E-2</v>
      </c>
      <c r="BO106" s="5">
        <v>5.9142755876439697E-2</v>
      </c>
      <c r="BP106" s="5">
        <v>-0.15854661720742699</v>
      </c>
      <c r="BQ106" s="5">
        <v>0.34711506901882</v>
      </c>
      <c r="BR106" s="5">
        <v>0.35541747662717799</v>
      </c>
      <c r="BS106" s="5">
        <v>-7.25845642976609E-2</v>
      </c>
      <c r="BT106" s="5">
        <v>0.48106657837809302</v>
      </c>
      <c r="BU106" s="5">
        <v>-0.16402738375870801</v>
      </c>
      <c r="BV106" s="5">
        <v>0.39899055606356398</v>
      </c>
      <c r="BW106" s="5">
        <v>-3.6071901433163703E-2</v>
      </c>
      <c r="BX106" s="5">
        <v>0.414316537171666</v>
      </c>
      <c r="BY106" s="5">
        <v>-0.109431221603873</v>
      </c>
      <c r="BZ106" s="5">
        <v>0.41262738686249201</v>
      </c>
      <c r="CA106" s="5">
        <v>-8.2500788646853604E-2</v>
      </c>
      <c r="CB106" s="5">
        <v>0.23156811087028001</v>
      </c>
      <c r="CC106" s="5">
        <v>-3.6450506220197701E-2</v>
      </c>
      <c r="CD106" s="5">
        <v>0.103042476476374</v>
      </c>
      <c r="CE106" s="5">
        <v>5.8065179059402998E-2</v>
      </c>
      <c r="CF106" s="5">
        <v>0.24941178540646899</v>
      </c>
      <c r="CG106" s="5">
        <v>-5.4418392385327002E-2</v>
      </c>
      <c r="CH106" s="5">
        <v>0.15810576739923499</v>
      </c>
      <c r="CI106" s="5">
        <v>5.8836551293551899E-2</v>
      </c>
      <c r="CJ106" s="5">
        <v>0.53808864726039396</v>
      </c>
      <c r="CK106" s="5">
        <v>-0.26434855581699801</v>
      </c>
      <c r="CL106" s="5">
        <v>-0.119462222811324</v>
      </c>
      <c r="CM106" s="5">
        <v>0.21472010037202499</v>
      </c>
      <c r="CN106" s="5">
        <v>-5.5819508451246898E-2</v>
      </c>
      <c r="CO106" s="5">
        <v>0.190275949533178</v>
      </c>
      <c r="CP106" s="5">
        <v>0.19728194895649301</v>
      </c>
      <c r="CQ106" s="5">
        <v>8.4043350548969799E-3</v>
      </c>
      <c r="CR106" s="5">
        <v>0.25424385801114102</v>
      </c>
      <c r="CS106" s="5">
        <v>-2.7242910026790901E-2</v>
      </c>
      <c r="CT106" s="5">
        <v>-9.0680930021810203E-3</v>
      </c>
      <c r="CU106" s="5">
        <v>6.3819303446433898E-2</v>
      </c>
      <c r="CV106" s="5">
        <v>0.22799216392389901</v>
      </c>
      <c r="CW106" s="5">
        <v>1.13557012731056E-2</v>
      </c>
      <c r="CX106" s="5">
        <v>0.64298513494144505</v>
      </c>
      <c r="CY106" s="5">
        <v>-0.32818437635216802</v>
      </c>
      <c r="CZ106" s="5">
        <v>0.37507265699935399</v>
      </c>
      <c r="DA106" s="5">
        <v>-6.8345731240810906E-2</v>
      </c>
      <c r="DB106" s="5">
        <v>1</v>
      </c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</row>
    <row r="107" spans="1:389" x14ac:dyDescent="0.45">
      <c r="A107" s="4" t="str">
        <f ca="1">"EGY / beta2dist in "&amp;CELL("address",'damages-1990'!$K$54)</f>
        <v>EGY / beta2dist in '[BHM betas v3pd.xlsx]damages-1990'!$K$54</v>
      </c>
      <c r="B107" s="6">
        <v>-8.9307892556967194E-2</v>
      </c>
      <c r="C107" s="5">
        <v>0.146619304249577</v>
      </c>
      <c r="D107" s="5">
        <v>1.6647751852551799E-2</v>
      </c>
      <c r="E107" s="5">
        <v>9.0979749610436894E-2</v>
      </c>
      <c r="F107" s="5">
        <v>-5.9567387896910601E-2</v>
      </c>
      <c r="G107" s="5">
        <v>8.9391878006168199E-2</v>
      </c>
      <c r="H107" s="5">
        <v>-8.0086186912291094E-2</v>
      </c>
      <c r="I107" s="5">
        <v>1.23865416743618E-2</v>
      </c>
      <c r="J107" s="5">
        <v>-5.3786628715257197E-2</v>
      </c>
      <c r="K107" s="5">
        <v>0.16688964801877301</v>
      </c>
      <c r="L107" s="5">
        <v>-3.5385262403466199E-2</v>
      </c>
      <c r="M107" s="5">
        <v>7.6795531458512201E-2</v>
      </c>
      <c r="N107" s="5">
        <v>0.268300205393396</v>
      </c>
      <c r="O107" s="5">
        <v>-0.426508320175359</v>
      </c>
      <c r="P107" s="5">
        <v>-8.3637963950142002E-2</v>
      </c>
      <c r="Q107" s="5">
        <v>0.13721841499068901</v>
      </c>
      <c r="R107" s="5">
        <v>-0.12151684516743699</v>
      </c>
      <c r="S107" s="5">
        <v>0.275844075076492</v>
      </c>
      <c r="T107" s="5">
        <v>4.6063512706622498E-2</v>
      </c>
      <c r="U107" s="5">
        <v>-9.3620227723792096E-2</v>
      </c>
      <c r="V107" s="5">
        <v>-3.2511707288505602E-2</v>
      </c>
      <c r="W107" s="5">
        <v>4.2504684537410997E-3</v>
      </c>
      <c r="X107" s="5">
        <v>-4.8419398851615801E-2</v>
      </c>
      <c r="Y107" s="5">
        <v>0.12684812150633301</v>
      </c>
      <c r="Z107" s="5">
        <v>-7.4576285942709902E-2</v>
      </c>
      <c r="AA107" s="5">
        <v>5.6862769118763201E-2</v>
      </c>
      <c r="AB107" s="5">
        <v>-0.142410485526722</v>
      </c>
      <c r="AC107" s="5">
        <v>0.26988834559307201</v>
      </c>
      <c r="AD107" s="5">
        <v>-0.17202995551749001</v>
      </c>
      <c r="AE107" s="5">
        <v>0.26898846423733502</v>
      </c>
      <c r="AF107" s="5">
        <v>4.63644396869662E-2</v>
      </c>
      <c r="AG107" s="5">
        <v>2.75010368430149E-2</v>
      </c>
      <c r="AH107" s="5">
        <v>-9.5106404152484007E-3</v>
      </c>
      <c r="AI107" s="5">
        <v>-1.77973766291516E-3</v>
      </c>
      <c r="AJ107" s="5">
        <v>-1.9482250173598802E-2</v>
      </c>
      <c r="AK107" s="5">
        <v>0.15576761252494301</v>
      </c>
      <c r="AL107" s="5">
        <v>0.234391617109384</v>
      </c>
      <c r="AM107" s="5">
        <v>-0.22968317393736101</v>
      </c>
      <c r="AN107" s="5">
        <v>7.3294717915058802E-2</v>
      </c>
      <c r="AO107" s="5">
        <v>-0.122616989863072</v>
      </c>
      <c r="AP107" s="5">
        <v>-0.18207946055117599</v>
      </c>
      <c r="AQ107" s="5">
        <v>0.195455221830033</v>
      </c>
      <c r="AR107" s="5">
        <v>0.222678016505892</v>
      </c>
      <c r="AS107" s="5">
        <v>-0.12983773890699499</v>
      </c>
      <c r="AT107" s="5">
        <v>0.18297029567084799</v>
      </c>
      <c r="AU107" s="5">
        <v>-0.116974099859024</v>
      </c>
      <c r="AV107" s="5">
        <v>-0.113032577780792</v>
      </c>
      <c r="AW107" s="5">
        <v>0.34725116738754602</v>
      </c>
      <c r="AX107" s="5">
        <v>7.5342134876380001E-2</v>
      </c>
      <c r="AY107" s="5">
        <v>4.7563071003448601E-2</v>
      </c>
      <c r="AZ107" s="5">
        <v>4.5245390964041201E-3</v>
      </c>
      <c r="BA107" s="5">
        <v>0.102658748265885</v>
      </c>
      <c r="BB107" s="5">
        <v>0.101337941052657</v>
      </c>
      <c r="BC107" s="5">
        <v>-1.08313444535718E-2</v>
      </c>
      <c r="BD107" s="5">
        <v>-0.118488027662977</v>
      </c>
      <c r="BE107" s="5">
        <v>0.17728372113146401</v>
      </c>
      <c r="BF107" s="5">
        <v>6.3957663893445902E-3</v>
      </c>
      <c r="BG107" s="5">
        <v>0.106652391067922</v>
      </c>
      <c r="BH107" s="5">
        <v>6.5072177645646795E-2</v>
      </c>
      <c r="BI107" s="5">
        <v>7.1226135645564695E-2</v>
      </c>
      <c r="BJ107" s="5">
        <v>-2.6304620779819501E-2</v>
      </c>
      <c r="BK107" s="5">
        <v>-7.9786497953315605E-2</v>
      </c>
      <c r="BL107" s="5">
        <v>7.0076999687619004E-2</v>
      </c>
      <c r="BM107" s="5">
        <v>-0.14800743854200099</v>
      </c>
      <c r="BN107" s="5">
        <v>-0.141798237983884</v>
      </c>
      <c r="BO107" s="5">
        <v>0.12825575562312899</v>
      </c>
      <c r="BP107" s="5">
        <v>-5.2961316040461101E-2</v>
      </c>
      <c r="BQ107" s="5">
        <v>-1.36408322472839E-2</v>
      </c>
      <c r="BR107" s="5">
        <v>-0.14313046872251001</v>
      </c>
      <c r="BS107" s="5">
        <v>0.20921123493471</v>
      </c>
      <c r="BT107" s="5">
        <v>-4.0247695503587297E-2</v>
      </c>
      <c r="BU107" s="5">
        <v>0.20492369199845201</v>
      </c>
      <c r="BV107" s="5">
        <v>6.5937531549151796E-3</v>
      </c>
      <c r="BW107" s="5">
        <v>9.8013478245722901E-2</v>
      </c>
      <c r="BX107" s="5">
        <v>-7.1881478426486206E-2</v>
      </c>
      <c r="BY107" s="5">
        <v>0.17907825085308601</v>
      </c>
      <c r="BZ107" s="5">
        <v>1.05127656127873E-3</v>
      </c>
      <c r="CA107" s="5">
        <v>8.4034895448882499E-2</v>
      </c>
      <c r="CB107" s="5">
        <v>0.110160591266575</v>
      </c>
      <c r="CC107" s="5">
        <v>2.47494197455774E-2</v>
      </c>
      <c r="CD107" s="5">
        <v>0.16893994358332001</v>
      </c>
      <c r="CE107" s="5">
        <v>-3.8928323844255E-2</v>
      </c>
      <c r="CF107" s="5">
        <v>0.13867635159323199</v>
      </c>
      <c r="CG107" s="5">
        <v>-1.8462137166759499E-2</v>
      </c>
      <c r="CH107" s="5">
        <v>0.29219728756763103</v>
      </c>
      <c r="CI107" s="5">
        <v>-0.290348444818539</v>
      </c>
      <c r="CJ107" s="5">
        <v>-0.300571818674084</v>
      </c>
      <c r="CK107" s="5">
        <v>0.38806195155061501</v>
      </c>
      <c r="CL107" s="5">
        <v>4.5426550488330397E-3</v>
      </c>
      <c r="CM107" s="5">
        <v>-3.9026750975841497E-2</v>
      </c>
      <c r="CN107" s="5">
        <v>-6.0180411290135398E-2</v>
      </c>
      <c r="CO107" s="5">
        <v>2.8113025006109401E-2</v>
      </c>
      <c r="CP107" s="5">
        <v>3.47474647138767E-2</v>
      </c>
      <c r="CQ107" s="5">
        <v>6.7478126976792799E-2</v>
      </c>
      <c r="CR107" s="5">
        <v>-8.7443999408425496E-3</v>
      </c>
      <c r="CS107" s="5">
        <v>8.2368764583452297E-2</v>
      </c>
      <c r="CT107" s="5">
        <v>-0.180202568241113</v>
      </c>
      <c r="CU107" s="5">
        <v>0.169166823546403</v>
      </c>
      <c r="CV107" s="5">
        <v>-3.9645951621745397E-2</v>
      </c>
      <c r="CW107" s="5">
        <v>0.115706469124395</v>
      </c>
      <c r="CX107" s="5">
        <v>-0.357022156284859</v>
      </c>
      <c r="CY107" s="5">
        <v>0.53713990705356296</v>
      </c>
      <c r="CZ107" s="5">
        <v>3.2406779683588398E-2</v>
      </c>
      <c r="DA107" s="5">
        <v>5.3014848191315897E-2</v>
      </c>
      <c r="DB107" s="5">
        <v>-0.709982088229969</v>
      </c>
      <c r="DC107" s="5">
        <v>1</v>
      </c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</row>
    <row r="108" spans="1:389" x14ac:dyDescent="0.45">
      <c r="A108" s="4" t="str">
        <f ca="1">"ERI / beta1dist in "&amp;CELL("address",'damages-1990'!$J$55)</f>
        <v>ERI / beta1dist in '[BHM betas v3pd.xlsx]damages-1990'!$J$55</v>
      </c>
      <c r="B108" s="6">
        <v>0.28995118462553099</v>
      </c>
      <c r="C108" s="5">
        <v>-0.15113778488263699</v>
      </c>
      <c r="D108" s="5">
        <v>0.44279156116633001</v>
      </c>
      <c r="E108" s="5">
        <v>-0.31449962090971201</v>
      </c>
      <c r="F108" s="5">
        <v>0.13011752914020699</v>
      </c>
      <c r="G108" s="5">
        <v>2.56662862578909E-2</v>
      </c>
      <c r="H108" s="5">
        <v>-0.13661310793231299</v>
      </c>
      <c r="I108" s="5">
        <v>0.172265055941624</v>
      </c>
      <c r="J108" s="5">
        <v>0.60446581985834302</v>
      </c>
      <c r="K108" s="5">
        <v>-0.51000132114992403</v>
      </c>
      <c r="L108" s="5">
        <v>0.36474852724458101</v>
      </c>
      <c r="M108" s="5">
        <v>-0.19641074413251899</v>
      </c>
      <c r="N108" s="5">
        <v>-8.8862602295743304E-2</v>
      </c>
      <c r="O108" s="5">
        <v>0.14132087932009799</v>
      </c>
      <c r="P108" s="5">
        <v>0.38267499351155698</v>
      </c>
      <c r="Q108" s="5">
        <v>-0.35380634169032099</v>
      </c>
      <c r="R108" s="5">
        <v>0.382718704843035</v>
      </c>
      <c r="S108" s="5">
        <v>-0.24941248871281799</v>
      </c>
      <c r="T108" s="5">
        <v>0.150732748767052</v>
      </c>
      <c r="U108" s="5">
        <v>-0.15251735808606101</v>
      </c>
      <c r="V108" s="5">
        <v>0.195140989260007</v>
      </c>
      <c r="W108" s="5">
        <v>2.1786733933046001E-2</v>
      </c>
      <c r="X108" s="5">
        <v>0.367139041445321</v>
      </c>
      <c r="Y108" s="5">
        <v>-0.22492442479905</v>
      </c>
      <c r="Z108" s="5">
        <v>2.14728429586305E-2</v>
      </c>
      <c r="AA108" s="5">
        <v>4.2766258584722099E-2</v>
      </c>
      <c r="AB108" s="5">
        <v>0.49509738638068401</v>
      </c>
      <c r="AC108" s="5">
        <v>-0.45458482292331898</v>
      </c>
      <c r="AD108" s="5">
        <v>0.64627795190636295</v>
      </c>
      <c r="AE108" s="5">
        <v>-0.53364283593671502</v>
      </c>
      <c r="AF108" s="5">
        <v>0.34894472041610503</v>
      </c>
      <c r="AG108" s="5">
        <v>-0.28032171855544102</v>
      </c>
      <c r="AH108" s="5">
        <v>0.13431430004654399</v>
      </c>
      <c r="AI108" s="5">
        <v>-1.82827125416926E-2</v>
      </c>
      <c r="AJ108" s="5">
        <v>0.52654202005335504</v>
      </c>
      <c r="AK108" s="5">
        <v>-0.43384616340904097</v>
      </c>
      <c r="AL108" s="5">
        <v>-7.4086196217822906E-2</v>
      </c>
      <c r="AM108" s="5">
        <v>0.20548022596176699</v>
      </c>
      <c r="AN108" s="5">
        <v>0.15501154563479499</v>
      </c>
      <c r="AO108" s="5">
        <v>-0.10651628966056199</v>
      </c>
      <c r="AP108" s="5">
        <v>0.11371499925011699</v>
      </c>
      <c r="AQ108" s="5">
        <v>-0.10437691829644501</v>
      </c>
      <c r="AR108" s="5">
        <v>0.23566403313564899</v>
      </c>
      <c r="AS108" s="5">
        <v>-7.2411178040769505E-2</v>
      </c>
      <c r="AT108" s="5">
        <v>-9.5028609607745295E-3</v>
      </c>
      <c r="AU108" s="5">
        <v>0.10962629093210199</v>
      </c>
      <c r="AV108" s="5">
        <v>0.39889400168281602</v>
      </c>
      <c r="AW108" s="5">
        <v>-0.291203743301792</v>
      </c>
      <c r="AX108" s="5">
        <v>0.46900287364099902</v>
      </c>
      <c r="AY108" s="5">
        <v>-0.37013325910217498</v>
      </c>
      <c r="AZ108" s="5">
        <v>0.59529193325622198</v>
      </c>
      <c r="BA108" s="5">
        <v>-0.55201125536538698</v>
      </c>
      <c r="BB108" s="5">
        <v>0.46572325422782102</v>
      </c>
      <c r="BC108" s="5">
        <v>-0.39176913170838701</v>
      </c>
      <c r="BD108" s="5">
        <v>0.130275869352656</v>
      </c>
      <c r="BE108" s="5">
        <v>4.5921346669200197E-2</v>
      </c>
      <c r="BF108" s="5">
        <v>0.39642566780763899</v>
      </c>
      <c r="BG108" s="5">
        <v>-0.285571601885726</v>
      </c>
      <c r="BH108" s="5">
        <v>0.55737132978628201</v>
      </c>
      <c r="BI108" s="5">
        <v>-0.48580450796472502</v>
      </c>
      <c r="BJ108" s="5">
        <v>-0.16721990376639301</v>
      </c>
      <c r="BK108" s="5">
        <v>0.241076543689064</v>
      </c>
      <c r="BL108" s="5">
        <v>0.12265120231936701</v>
      </c>
      <c r="BM108" s="5">
        <v>-0.120198415118175</v>
      </c>
      <c r="BN108" s="5">
        <v>-0.17139661124127001</v>
      </c>
      <c r="BO108" s="5">
        <v>0.32186138103209799</v>
      </c>
      <c r="BP108" s="5">
        <v>-0.131311364760514</v>
      </c>
      <c r="BQ108" s="5">
        <v>0.30839293123448802</v>
      </c>
      <c r="BR108" s="5">
        <v>0.55637511932004002</v>
      </c>
      <c r="BS108" s="5">
        <v>-0.48338665689562399</v>
      </c>
      <c r="BT108" s="5">
        <v>0.54984249883443503</v>
      </c>
      <c r="BU108" s="5">
        <v>-0.49689272525516498</v>
      </c>
      <c r="BV108" s="5">
        <v>0.43201088372256702</v>
      </c>
      <c r="BW108" s="5">
        <v>-0.32527476272321199</v>
      </c>
      <c r="BX108" s="5">
        <v>0.36409555708917302</v>
      </c>
      <c r="BY108" s="5">
        <v>-0.27782417632543799</v>
      </c>
      <c r="BZ108" s="5">
        <v>0.44359765465899598</v>
      </c>
      <c r="CA108" s="5">
        <v>-0.34506270864141497</v>
      </c>
      <c r="CB108" s="5">
        <v>4.7883085264983402E-2</v>
      </c>
      <c r="CC108" s="5">
        <v>-1.37465391226195E-2</v>
      </c>
      <c r="CD108" s="5">
        <v>0.34290001900121098</v>
      </c>
      <c r="CE108" s="5">
        <v>-0.310146870456318</v>
      </c>
      <c r="CF108" s="5">
        <v>0.404524293656079</v>
      </c>
      <c r="CG108" s="5">
        <v>-0.30209603091514398</v>
      </c>
      <c r="CH108" s="5">
        <v>-0.13538891924848001</v>
      </c>
      <c r="CI108" s="5">
        <v>0.26331994670352199</v>
      </c>
      <c r="CJ108" s="5">
        <v>6.4268158472877798E-2</v>
      </c>
      <c r="CK108" s="5">
        <v>8.1594134978839897E-2</v>
      </c>
      <c r="CL108" s="5">
        <v>0.12882535127425301</v>
      </c>
      <c r="CM108" s="5">
        <v>-0.104259534795726</v>
      </c>
      <c r="CN108" s="5">
        <v>6.8825272578478799E-2</v>
      </c>
      <c r="CO108" s="5">
        <v>-1.96599359708605E-2</v>
      </c>
      <c r="CP108" s="5">
        <v>0.73583289085992298</v>
      </c>
      <c r="CQ108" s="5">
        <v>-0.57920716944163897</v>
      </c>
      <c r="CR108" s="5">
        <v>0.40918919652012598</v>
      </c>
      <c r="CS108" s="5">
        <v>-0.36058917155027098</v>
      </c>
      <c r="CT108" s="5">
        <v>3.6357597514199001E-2</v>
      </c>
      <c r="CU108" s="5">
        <v>-1.6234506879327201E-2</v>
      </c>
      <c r="CV108" s="5">
        <v>0.36072440448535897</v>
      </c>
      <c r="CW108" s="5">
        <v>-0.278558144986018</v>
      </c>
      <c r="CX108" s="5">
        <v>0.41023891358894798</v>
      </c>
      <c r="CY108" s="5">
        <v>-0.279917809174212</v>
      </c>
      <c r="CZ108" s="5">
        <v>0.33426043971853397</v>
      </c>
      <c r="DA108" s="5">
        <v>-0.21705409402278</v>
      </c>
      <c r="DB108" s="5">
        <v>0.28239794847081601</v>
      </c>
      <c r="DC108" s="5">
        <v>-5.8753463875714701E-2</v>
      </c>
      <c r="DD108" s="5">
        <v>1</v>
      </c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</row>
    <row r="109" spans="1:389" x14ac:dyDescent="0.45">
      <c r="A109" s="4" t="str">
        <f ca="1">"ERI / beta2dist in "&amp;CELL("address",'damages-1990'!$K$55)</f>
        <v>ERI / beta2dist in '[BHM betas v3pd.xlsx]damages-1990'!$K$55</v>
      </c>
      <c r="B109" s="6">
        <v>-0.15934050421903601</v>
      </c>
      <c r="C109" s="5">
        <v>0.38079307384119798</v>
      </c>
      <c r="D109" s="5">
        <v>-0.14250901523363499</v>
      </c>
      <c r="E109" s="5">
        <v>0.45852620394855398</v>
      </c>
      <c r="F109" s="5">
        <v>-1.0431597236126499E-2</v>
      </c>
      <c r="G109" s="5">
        <v>6.3831688992520494E-2</v>
      </c>
      <c r="H109" s="5">
        <v>7.2318418411741206E-2</v>
      </c>
      <c r="I109" s="5">
        <v>-0.17443313997065299</v>
      </c>
      <c r="J109" s="5">
        <v>-0.28955083394335401</v>
      </c>
      <c r="K109" s="5">
        <v>0.585170609179546</v>
      </c>
      <c r="L109" s="5">
        <v>-0.10210858498844</v>
      </c>
      <c r="M109" s="5">
        <v>0.26595215590308702</v>
      </c>
      <c r="N109" s="5">
        <v>3.3578231446155501E-2</v>
      </c>
      <c r="O109" s="5">
        <v>-9.6562130654875997E-2</v>
      </c>
      <c r="P109" s="5">
        <v>-0.32502057132682699</v>
      </c>
      <c r="Q109" s="5">
        <v>0.53485413902202605</v>
      </c>
      <c r="R109" s="5">
        <v>-9.1676428275739394E-2</v>
      </c>
      <c r="S109" s="5">
        <v>0.37716816163774203</v>
      </c>
      <c r="T109" s="5">
        <v>-0.20305719202246</v>
      </c>
      <c r="U109" s="5">
        <v>0.190914373404062</v>
      </c>
      <c r="V109" s="5">
        <v>-1.9440558405515101E-2</v>
      </c>
      <c r="W109" s="5">
        <v>0.111552054697743</v>
      </c>
      <c r="X109" s="5">
        <v>-0.110826142401277</v>
      </c>
      <c r="Y109" s="5">
        <v>0.38240608414280802</v>
      </c>
      <c r="Z109" s="5">
        <v>-1.05769230353574E-2</v>
      </c>
      <c r="AA109" s="5">
        <v>2.2666580111231901E-2</v>
      </c>
      <c r="AB109" s="5">
        <v>-0.233230145363405</v>
      </c>
      <c r="AC109" s="5">
        <v>0.57559418822891295</v>
      </c>
      <c r="AD109" s="5">
        <v>-0.393816121631195</v>
      </c>
      <c r="AE109" s="5">
        <v>0.67981265986146699</v>
      </c>
      <c r="AF109" s="5">
        <v>-0.16165410665535501</v>
      </c>
      <c r="AG109" s="5">
        <v>0.43266995544720599</v>
      </c>
      <c r="AH109" s="5">
        <v>-4.0636967608322999E-2</v>
      </c>
      <c r="AI109" s="5">
        <v>8.6260210549390204E-2</v>
      </c>
      <c r="AJ109" s="5">
        <v>-0.30043605737728102</v>
      </c>
      <c r="AK109" s="5">
        <v>0.56450763273508497</v>
      </c>
      <c r="AL109" s="5">
        <v>0.36007156990720501</v>
      </c>
      <c r="AM109" s="5">
        <v>-0.297289770310881</v>
      </c>
      <c r="AN109" s="5">
        <v>-0.15221505974051999</v>
      </c>
      <c r="AO109" s="5">
        <v>0.19213703350778599</v>
      </c>
      <c r="AP109" s="5">
        <v>-0.21525202177791999</v>
      </c>
      <c r="AQ109" s="5">
        <v>0.21744579703858699</v>
      </c>
      <c r="AR109" s="5">
        <v>5.4538594439831597E-2</v>
      </c>
      <c r="AS109" s="5">
        <v>0.10665579629543</v>
      </c>
      <c r="AT109" s="5">
        <v>0.25842783018013399</v>
      </c>
      <c r="AU109" s="5">
        <v>-0.18190893991065099</v>
      </c>
      <c r="AV109" s="5">
        <v>-8.2590266217800398E-2</v>
      </c>
      <c r="AW109" s="5">
        <v>0.40959836060409399</v>
      </c>
      <c r="AX109" s="5">
        <v>-0.162214126736101</v>
      </c>
      <c r="AY109" s="5">
        <v>0.49068748440373</v>
      </c>
      <c r="AZ109" s="5">
        <v>-0.49837948498558798</v>
      </c>
      <c r="BA109" s="5">
        <v>0.69174989817833799</v>
      </c>
      <c r="BB109" s="5">
        <v>-0.11517080983544201</v>
      </c>
      <c r="BC109" s="5">
        <v>0.46436273612168799</v>
      </c>
      <c r="BD109" s="5">
        <v>-7.7376072196951598E-2</v>
      </c>
      <c r="BE109" s="5">
        <v>0.21145428672213601</v>
      </c>
      <c r="BF109" s="5">
        <v>-0.120667338770756</v>
      </c>
      <c r="BG109" s="5">
        <v>0.34909794728062199</v>
      </c>
      <c r="BH109" s="5">
        <v>-0.24855172779670601</v>
      </c>
      <c r="BI109" s="5">
        <v>0.62666776462781604</v>
      </c>
      <c r="BJ109" s="5">
        <v>-2.98120718963681E-2</v>
      </c>
      <c r="BK109" s="5">
        <v>-0.228922066181518</v>
      </c>
      <c r="BL109" s="5">
        <v>-0.20188894044833799</v>
      </c>
      <c r="BM109" s="5">
        <v>0.158474954272117</v>
      </c>
      <c r="BN109" s="5">
        <v>0.104501784627753</v>
      </c>
      <c r="BO109" s="5">
        <v>-0.215542341943807</v>
      </c>
      <c r="BP109" s="5">
        <v>6.1948713341563703E-2</v>
      </c>
      <c r="BQ109" s="5">
        <v>-0.22368689216062801</v>
      </c>
      <c r="BR109" s="5">
        <v>-0.32946527491630001</v>
      </c>
      <c r="BS109" s="5">
        <v>0.64666056112500503</v>
      </c>
      <c r="BT109" s="5">
        <v>-0.208039912416595</v>
      </c>
      <c r="BU109" s="5">
        <v>0.61276666807310998</v>
      </c>
      <c r="BV109" s="5">
        <v>-0.13010011108677499</v>
      </c>
      <c r="BW109" s="5">
        <v>0.47068306864190401</v>
      </c>
      <c r="BX109" s="5">
        <v>-7.4397659463298196E-2</v>
      </c>
      <c r="BY109" s="5">
        <v>0.40519373774171302</v>
      </c>
      <c r="BZ109" s="5">
        <v>-0.177800110150694</v>
      </c>
      <c r="CA109" s="5">
        <v>0.48518078919077301</v>
      </c>
      <c r="CB109" s="5">
        <v>0.14626294169675499</v>
      </c>
      <c r="CC109" s="5">
        <v>0.11010927950418201</v>
      </c>
      <c r="CD109" s="5">
        <v>-0.220313235041281</v>
      </c>
      <c r="CE109" s="5">
        <v>0.42179621607176399</v>
      </c>
      <c r="CF109" s="5">
        <v>-0.26231760554524203</v>
      </c>
      <c r="CG109" s="5">
        <v>0.441910955305093</v>
      </c>
      <c r="CH109" s="5">
        <v>0.435436572328955</v>
      </c>
      <c r="CI109" s="5">
        <v>-0.37520003794109502</v>
      </c>
      <c r="CJ109" s="5">
        <v>9.3254012525903193E-2</v>
      </c>
      <c r="CK109" s="5">
        <v>-2.6389254558051599E-2</v>
      </c>
      <c r="CL109" s="5">
        <v>-0.13288568030116199</v>
      </c>
      <c r="CM109" s="5">
        <v>0.130642733439226</v>
      </c>
      <c r="CN109" s="5">
        <v>-6.2686464854366505E-2</v>
      </c>
      <c r="CO109" s="5">
        <v>5.6747663358441898E-2</v>
      </c>
      <c r="CP109" s="5">
        <v>-0.62910546609463702</v>
      </c>
      <c r="CQ109" s="5">
        <v>0.78401132181229904</v>
      </c>
      <c r="CR109" s="5">
        <v>-0.33481103978043603</v>
      </c>
      <c r="CS109" s="5">
        <v>0.54331907160256598</v>
      </c>
      <c r="CT109" s="5">
        <v>-4.6149510572061701E-2</v>
      </c>
      <c r="CU109" s="5">
        <v>4.2183223928471701E-2</v>
      </c>
      <c r="CV109" s="5">
        <v>-0.19802495080847801</v>
      </c>
      <c r="CW109" s="5">
        <v>0.397988101954871</v>
      </c>
      <c r="CX109" s="5">
        <v>-0.161739449032445</v>
      </c>
      <c r="CY109" s="5">
        <v>0.42153252533105401</v>
      </c>
      <c r="CZ109" s="5">
        <v>-8.9566760015711497E-2</v>
      </c>
      <c r="DA109" s="5">
        <v>0.32792166559389502</v>
      </c>
      <c r="DB109" s="5">
        <v>5.8267703612153799E-3</v>
      </c>
      <c r="DC109" s="5">
        <v>0.14444898072208601</v>
      </c>
      <c r="DD109" s="5">
        <v>-0.81302936001210702</v>
      </c>
      <c r="DE109" s="5">
        <v>1</v>
      </c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</row>
    <row r="110" spans="1:389" x14ac:dyDescent="0.45">
      <c r="A110" s="4" t="str">
        <f ca="1">"ESH / beta1dist in "&amp;CELL("address",'damages-1990'!$J$56)</f>
        <v>ESH / beta1dist in '[BHM betas v3pd.xlsx]damages-1990'!$J$56</v>
      </c>
      <c r="B110" s="6">
        <v>0.33255493517254298</v>
      </c>
      <c r="C110" s="5">
        <v>-4.3768812622174802E-2</v>
      </c>
      <c r="D110" s="5">
        <v>0.43640934278519999</v>
      </c>
      <c r="E110" s="5">
        <v>-0.220236262358985</v>
      </c>
      <c r="F110" s="5">
        <v>0.15715685540909299</v>
      </c>
      <c r="G110" s="5">
        <v>0.14764697591793199</v>
      </c>
      <c r="H110" s="5">
        <v>-0.43738892712223199</v>
      </c>
      <c r="I110" s="5">
        <v>0.51233499926365</v>
      </c>
      <c r="J110" s="5">
        <v>0.58277492933211605</v>
      </c>
      <c r="K110" s="5">
        <v>-0.322450005406614</v>
      </c>
      <c r="L110" s="5">
        <v>0.35141053954469298</v>
      </c>
      <c r="M110" s="5">
        <v>-5.7614458861032898E-2</v>
      </c>
      <c r="N110" s="5">
        <v>-2.1543499850804899E-2</v>
      </c>
      <c r="O110" s="5">
        <v>7.7437471561493304E-2</v>
      </c>
      <c r="P110" s="5">
        <v>0.41642450718867902</v>
      </c>
      <c r="Q110" s="5">
        <v>-0.22447385892282301</v>
      </c>
      <c r="R110" s="5">
        <v>0.452641178392517</v>
      </c>
      <c r="S110" s="5">
        <v>-0.18874436849528101</v>
      </c>
      <c r="T110" s="5">
        <v>-0.119883187242423</v>
      </c>
      <c r="U110" s="5">
        <v>0.172935171194117</v>
      </c>
      <c r="V110" s="5">
        <v>0.217217228009049</v>
      </c>
      <c r="W110" s="5">
        <v>0.17364908734992701</v>
      </c>
      <c r="X110" s="5">
        <v>0.396973637355783</v>
      </c>
      <c r="Y110" s="5">
        <v>-0.16433087293911999</v>
      </c>
      <c r="Z110" s="5">
        <v>-9.6544450106943597E-2</v>
      </c>
      <c r="AA110" s="5">
        <v>0.26100686376731402</v>
      </c>
      <c r="AB110" s="5">
        <v>0.28645041468120302</v>
      </c>
      <c r="AC110" s="5">
        <v>-0.21894690008793399</v>
      </c>
      <c r="AD110" s="5">
        <v>0.34987376735049103</v>
      </c>
      <c r="AE110" s="5">
        <v>-0.24517427583297299</v>
      </c>
      <c r="AF110" s="5">
        <v>0.441339923559943</v>
      </c>
      <c r="AG110" s="5">
        <v>-0.24257845431008701</v>
      </c>
      <c r="AH110" s="5">
        <v>9.6247553193475194E-2</v>
      </c>
      <c r="AI110" s="5">
        <v>0.17127242008475499</v>
      </c>
      <c r="AJ110" s="5">
        <v>0.60102638489778304</v>
      </c>
      <c r="AK110" s="5">
        <v>-0.29617104061475602</v>
      </c>
      <c r="AL110" s="5">
        <v>0.24743319146176501</v>
      </c>
      <c r="AM110" s="5">
        <v>-4.8617428989659199E-2</v>
      </c>
      <c r="AN110" s="5">
        <v>5.70724621936088E-2</v>
      </c>
      <c r="AO110" s="5">
        <v>9.9973012809947095E-2</v>
      </c>
      <c r="AP110" s="5">
        <v>-0.216467491212775</v>
      </c>
      <c r="AQ110" s="5">
        <v>0.27129153388456601</v>
      </c>
      <c r="AR110" s="5">
        <v>0.42798159200507002</v>
      </c>
      <c r="AS110" s="5">
        <v>-0.19213367829150399</v>
      </c>
      <c r="AT110" s="5">
        <v>0.26458248180378002</v>
      </c>
      <c r="AU110" s="5">
        <v>-9.2931434764105203E-2</v>
      </c>
      <c r="AV110" s="5">
        <v>0.48605936680613099</v>
      </c>
      <c r="AW110" s="5">
        <v>-0.21530000144288799</v>
      </c>
      <c r="AX110" s="5">
        <v>0.561402404396664</v>
      </c>
      <c r="AY110" s="5">
        <v>-0.32230813986076701</v>
      </c>
      <c r="AZ110" s="5">
        <v>0.50472920262750598</v>
      </c>
      <c r="BA110" s="5">
        <v>-0.34131236920393798</v>
      </c>
      <c r="BB110" s="5">
        <v>0.40387624462351102</v>
      </c>
      <c r="BC110" s="5">
        <v>-0.18623790783997801</v>
      </c>
      <c r="BD110" s="5">
        <v>0.113625738461638</v>
      </c>
      <c r="BE110" s="5">
        <v>0.21407675058034101</v>
      </c>
      <c r="BF110" s="5">
        <v>0.30006889965286698</v>
      </c>
      <c r="BG110" s="5">
        <v>-6.6937783140413903E-2</v>
      </c>
      <c r="BH110" s="5">
        <v>0.48563899329634502</v>
      </c>
      <c r="BI110" s="5">
        <v>-0.330182648001001</v>
      </c>
      <c r="BJ110" s="5">
        <v>-0.41847536531414897</v>
      </c>
      <c r="BK110" s="5">
        <v>0.37529005522491499</v>
      </c>
      <c r="BL110" s="5">
        <v>-0.17488544834501701</v>
      </c>
      <c r="BM110" s="5">
        <v>0.22136911242509</v>
      </c>
      <c r="BN110" s="5">
        <v>-9.1122173151625005E-2</v>
      </c>
      <c r="BO110" s="5">
        <v>0.25469253428653299</v>
      </c>
      <c r="BP110" s="5">
        <v>-0.20595600533868499</v>
      </c>
      <c r="BQ110" s="5">
        <v>0.427840664591425</v>
      </c>
      <c r="BR110" s="5">
        <v>0.31290392450662502</v>
      </c>
      <c r="BS110" s="5">
        <v>-0.25162188002320002</v>
      </c>
      <c r="BT110" s="5">
        <v>0.44879675802096702</v>
      </c>
      <c r="BU110" s="5">
        <v>-0.28280663620378899</v>
      </c>
      <c r="BV110" s="5">
        <v>0.42146555732980001</v>
      </c>
      <c r="BW110" s="5">
        <v>-0.232300768860186</v>
      </c>
      <c r="BX110" s="5">
        <v>0.28971054531609203</v>
      </c>
      <c r="BY110" s="5">
        <v>-0.136699090623046</v>
      </c>
      <c r="BZ110" s="5">
        <v>0.48371818849853798</v>
      </c>
      <c r="CA110" s="5">
        <v>-0.31523864511278799</v>
      </c>
      <c r="CB110" s="5">
        <v>0.15972306527530999</v>
      </c>
      <c r="CC110" s="5">
        <v>1.6037810277096901E-2</v>
      </c>
      <c r="CD110" s="5">
        <v>0.600600668567008</v>
      </c>
      <c r="CE110" s="5">
        <v>-0.479467968179355</v>
      </c>
      <c r="CF110" s="5">
        <v>0.55742556875402904</v>
      </c>
      <c r="CG110" s="5">
        <v>-0.37682607259002199</v>
      </c>
      <c r="CH110" s="5">
        <v>0.162616524182119</v>
      </c>
      <c r="CI110" s="5">
        <v>1.7512380024903199E-2</v>
      </c>
      <c r="CJ110" s="5">
        <v>0.18844339848469199</v>
      </c>
      <c r="CK110" s="5">
        <v>0.100693493141055</v>
      </c>
      <c r="CL110" s="5">
        <v>-0.11024634430977399</v>
      </c>
      <c r="CM110" s="5">
        <v>0.20985169920781799</v>
      </c>
      <c r="CN110" s="5">
        <v>-0.13721911329875</v>
      </c>
      <c r="CO110" s="5">
        <v>0.27895386347432499</v>
      </c>
      <c r="CP110" s="5">
        <v>0.55964617814911499</v>
      </c>
      <c r="CQ110" s="5">
        <v>-0.41189605233161503</v>
      </c>
      <c r="CR110" s="5">
        <v>0.43397978568186901</v>
      </c>
      <c r="CS110" s="5">
        <v>-0.23987776700581201</v>
      </c>
      <c r="CT110" s="5">
        <v>-0.24010043058459399</v>
      </c>
      <c r="CU110" s="5">
        <v>0.313429800276805</v>
      </c>
      <c r="CV110" s="5">
        <v>0.33589805905335102</v>
      </c>
      <c r="CW110" s="5">
        <v>-0.105539619681288</v>
      </c>
      <c r="CX110" s="5">
        <v>0.42435722529930398</v>
      </c>
      <c r="CY110" s="5">
        <v>-0.13908106801408501</v>
      </c>
      <c r="CZ110" s="5">
        <v>0.401549150605437</v>
      </c>
      <c r="DA110" s="5">
        <v>-0.19108980497539399</v>
      </c>
      <c r="DB110" s="5">
        <v>0.30044332352228798</v>
      </c>
      <c r="DC110" s="5">
        <v>0.14853507401695401</v>
      </c>
      <c r="DD110" s="5">
        <v>0.49391501077752598</v>
      </c>
      <c r="DE110" s="5">
        <v>-0.31092919500397398</v>
      </c>
      <c r="DF110" s="5">
        <v>1</v>
      </c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</row>
    <row r="111" spans="1:389" x14ac:dyDescent="0.45">
      <c r="A111" s="4" t="str">
        <f ca="1">"ESH / beta2dist in "&amp;CELL("address",'damages-1990'!$K$56)</f>
        <v>ESH / beta2dist in '[BHM betas v3pd.xlsx]damages-1990'!$K$56</v>
      </c>
      <c r="B111" s="6">
        <v>-0.20660139423739299</v>
      </c>
      <c r="C111" s="5">
        <v>0.31934511363391099</v>
      </c>
      <c r="D111" s="5">
        <v>-0.145241693908679</v>
      </c>
      <c r="E111" s="5">
        <v>0.37765015733983498</v>
      </c>
      <c r="F111" s="5">
        <v>-2.14283342787654E-2</v>
      </c>
      <c r="G111" s="5">
        <v>-4.7866378486353098E-2</v>
      </c>
      <c r="H111" s="5">
        <v>0.35684706103614899</v>
      </c>
      <c r="I111" s="5">
        <v>-0.49856442979423399</v>
      </c>
      <c r="J111" s="5">
        <v>-0.317527122029437</v>
      </c>
      <c r="K111" s="5">
        <v>0.46347283516089499</v>
      </c>
      <c r="L111" s="5">
        <v>-5.4361046787612402E-2</v>
      </c>
      <c r="M111" s="5">
        <v>0.10396090538715901</v>
      </c>
      <c r="N111" s="5">
        <v>5.7861096724187199E-3</v>
      </c>
      <c r="O111" s="5">
        <v>-5.9690888649039701E-2</v>
      </c>
      <c r="P111" s="5">
        <v>-0.37565504118054199</v>
      </c>
      <c r="Q111" s="5">
        <v>0.42189894856472998</v>
      </c>
      <c r="R111" s="5">
        <v>-0.153242906973973</v>
      </c>
      <c r="S111" s="5">
        <v>0.31781796374424798</v>
      </c>
      <c r="T111" s="5">
        <v>2.6410389187385801E-2</v>
      </c>
      <c r="U111" s="5">
        <v>-7.7131906074774007E-2</v>
      </c>
      <c r="V111" s="5">
        <v>-3.4368510486650398E-2</v>
      </c>
      <c r="W111" s="5">
        <v>-1.8255090804169899E-2</v>
      </c>
      <c r="X111" s="5">
        <v>-0.13449722228629399</v>
      </c>
      <c r="Y111" s="5">
        <v>0.32011276479612</v>
      </c>
      <c r="Z111" s="5">
        <v>0.105793132892334</v>
      </c>
      <c r="AA111" s="5">
        <v>-0.17162131066250699</v>
      </c>
      <c r="AB111" s="5">
        <v>-6.3840454320246903E-2</v>
      </c>
      <c r="AC111" s="5">
        <v>0.37116138118338698</v>
      </c>
      <c r="AD111" s="5">
        <v>-0.180279644965848</v>
      </c>
      <c r="AE111" s="5">
        <v>0.45484937024556299</v>
      </c>
      <c r="AF111" s="5">
        <v>-0.189641817695375</v>
      </c>
      <c r="AG111" s="5">
        <v>0.33673926650095798</v>
      </c>
      <c r="AH111" s="5">
        <v>-6.5963939079267996E-3</v>
      </c>
      <c r="AI111" s="5">
        <v>-7.0885031909927301E-2</v>
      </c>
      <c r="AJ111" s="5">
        <v>-0.37689383843401503</v>
      </c>
      <c r="AK111" s="5">
        <v>0.45126601388589599</v>
      </c>
      <c r="AL111" s="5">
        <v>0.111831889469013</v>
      </c>
      <c r="AM111" s="5">
        <v>-0.117544211484814</v>
      </c>
      <c r="AN111" s="5">
        <v>-6.6608441885625896E-2</v>
      </c>
      <c r="AO111" s="5">
        <v>2.1541427789111899E-2</v>
      </c>
      <c r="AP111" s="5">
        <v>9.1783140113609704E-2</v>
      </c>
      <c r="AQ111" s="5">
        <v>-0.12184031893703499</v>
      </c>
      <c r="AR111" s="5">
        <v>-9.2686005653802403E-2</v>
      </c>
      <c r="AS111" s="5">
        <v>0.17182936631486201</v>
      </c>
      <c r="AT111" s="5">
        <v>4.1724480352858299E-2</v>
      </c>
      <c r="AU111" s="5">
        <v>-1.55540471401471E-2</v>
      </c>
      <c r="AV111" s="5">
        <v>-0.130295205157274</v>
      </c>
      <c r="AW111" s="5">
        <v>0.28949997949227102</v>
      </c>
      <c r="AX111" s="5">
        <v>-0.22508982367677999</v>
      </c>
      <c r="AY111" s="5">
        <v>0.40484684965811002</v>
      </c>
      <c r="AZ111" s="5">
        <v>-0.44246195435236202</v>
      </c>
      <c r="BA111" s="5">
        <v>0.51029704328467196</v>
      </c>
      <c r="BB111" s="5">
        <v>-7.4151280326360897E-2</v>
      </c>
      <c r="BC111" s="5">
        <v>0.28877867583732397</v>
      </c>
      <c r="BD111" s="5">
        <v>-5.4221370580354401E-2</v>
      </c>
      <c r="BE111" s="5">
        <v>7.2589575347936905E-2</v>
      </c>
      <c r="BF111" s="5">
        <v>-3.5454290621583603E-2</v>
      </c>
      <c r="BG111" s="5">
        <v>0.15649265832696099</v>
      </c>
      <c r="BH111" s="5">
        <v>-0.19797481628067301</v>
      </c>
      <c r="BI111" s="5">
        <v>0.482593306865024</v>
      </c>
      <c r="BJ111" s="5">
        <v>0.21305092161928901</v>
      </c>
      <c r="BK111" s="5">
        <v>-0.36282827774712001</v>
      </c>
      <c r="BL111" s="5">
        <v>6.6754822460563398E-2</v>
      </c>
      <c r="BM111" s="5">
        <v>-0.14621016557081801</v>
      </c>
      <c r="BN111" s="5">
        <v>7.3950609083655902E-2</v>
      </c>
      <c r="BO111" s="5">
        <v>-0.18694835321880099</v>
      </c>
      <c r="BP111" s="5">
        <v>0.13487259192883599</v>
      </c>
      <c r="BQ111" s="5">
        <v>-0.313422843044383</v>
      </c>
      <c r="BR111" s="5">
        <v>-0.15289064850796499</v>
      </c>
      <c r="BS111" s="5">
        <v>0.46110245300645603</v>
      </c>
      <c r="BT111" s="5">
        <v>-0.124126225384273</v>
      </c>
      <c r="BU111" s="5">
        <v>0.41319280972184103</v>
      </c>
      <c r="BV111" s="5">
        <v>-0.120623283583256</v>
      </c>
      <c r="BW111" s="5">
        <v>0.371695221006833</v>
      </c>
      <c r="BX111" s="5">
        <v>-7.4711545532610904E-3</v>
      </c>
      <c r="BY111" s="5">
        <v>0.25447121538253498</v>
      </c>
      <c r="BZ111" s="5">
        <v>-0.201332897411545</v>
      </c>
      <c r="CA111" s="5">
        <v>0.432579581308846</v>
      </c>
      <c r="CB111" s="5">
        <v>0.121401097859878</v>
      </c>
      <c r="CC111" s="5">
        <v>-1.38837314834731E-2</v>
      </c>
      <c r="CD111" s="5">
        <v>-0.50622103862483403</v>
      </c>
      <c r="CE111" s="5">
        <v>0.64363811126669401</v>
      </c>
      <c r="CF111" s="5">
        <v>-0.40530248618333298</v>
      </c>
      <c r="CG111" s="5">
        <v>0.50343407644729998</v>
      </c>
      <c r="CH111" s="5">
        <v>0.19825121816503</v>
      </c>
      <c r="CI111" s="5">
        <v>-0.200910323445464</v>
      </c>
      <c r="CJ111" s="5">
        <v>1.4102018742909299E-2</v>
      </c>
      <c r="CK111" s="5">
        <v>-6.0279324006289998E-2</v>
      </c>
      <c r="CL111" s="5">
        <v>7.2387620275470299E-2</v>
      </c>
      <c r="CM111" s="5">
        <v>-0.12839660618946599</v>
      </c>
      <c r="CN111" s="5">
        <v>0.121868097811917</v>
      </c>
      <c r="CO111" s="5">
        <v>-0.198176173782973</v>
      </c>
      <c r="CP111" s="5">
        <v>-0.49428517954857898</v>
      </c>
      <c r="CQ111" s="5">
        <v>0.63392019412032796</v>
      </c>
      <c r="CR111" s="5">
        <v>-0.364016355918512</v>
      </c>
      <c r="CS111" s="5">
        <v>0.42320395917619402</v>
      </c>
      <c r="CT111" s="5">
        <v>0.195635727282962</v>
      </c>
      <c r="CU111" s="5">
        <v>-0.24176379477532101</v>
      </c>
      <c r="CV111" s="5">
        <v>-0.17760640732570401</v>
      </c>
      <c r="CW111" s="5">
        <v>0.21313433473089699</v>
      </c>
      <c r="CX111" s="5">
        <v>-0.15516686550419401</v>
      </c>
      <c r="CY111" s="5">
        <v>0.27398816941090398</v>
      </c>
      <c r="CZ111" s="5">
        <v>-0.13474442648778001</v>
      </c>
      <c r="DA111" s="5">
        <v>0.28294981723699397</v>
      </c>
      <c r="DB111" s="5">
        <v>-7.2665147631202701E-3</v>
      </c>
      <c r="DC111" s="5">
        <v>-4.9260147032062697E-2</v>
      </c>
      <c r="DD111" s="5">
        <v>-0.40234449371809899</v>
      </c>
      <c r="DE111" s="5">
        <v>0.56234988874404301</v>
      </c>
      <c r="DF111" s="5">
        <v>-0.81908796357710101</v>
      </c>
      <c r="DG111" s="5">
        <v>1</v>
      </c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</row>
    <row r="112" spans="1:389" x14ac:dyDescent="0.45">
      <c r="A112" s="4" t="str">
        <f ca="1">"ESP / beta1dist in "&amp;CELL("address",'damages-1990'!$J$57)</f>
        <v>ESP / beta1dist in '[BHM betas v3pd.xlsx]damages-1990'!$J$57</v>
      </c>
      <c r="B112" s="6">
        <v>0.60248392931074601</v>
      </c>
      <c r="C112" s="5">
        <v>-0.18400108393491399</v>
      </c>
      <c r="D112" s="5">
        <v>0.303991338718202</v>
      </c>
      <c r="E112" s="5">
        <v>-0.1483181432081</v>
      </c>
      <c r="F112" s="5">
        <v>0.59324245181079804</v>
      </c>
      <c r="G112" s="5">
        <v>-0.22161688309304001</v>
      </c>
      <c r="H112" s="5">
        <v>0.19168737942469799</v>
      </c>
      <c r="I112" s="5">
        <v>8.2810504085202696E-3</v>
      </c>
      <c r="J112" s="5">
        <v>0.31688682980208399</v>
      </c>
      <c r="K112" s="5">
        <v>-0.17593562428425499</v>
      </c>
      <c r="L112" s="5">
        <v>0.476946048670779</v>
      </c>
      <c r="M112" s="5">
        <v>-0.114390275793531</v>
      </c>
      <c r="N112" s="5">
        <v>0.33694203473190998</v>
      </c>
      <c r="O112" s="5">
        <v>-3.6707649728182003E-2</v>
      </c>
      <c r="P112" s="5">
        <v>0.20179293172222099</v>
      </c>
      <c r="Q112" s="5">
        <v>-8.9132445843225605E-2</v>
      </c>
      <c r="R112" s="5">
        <v>0.33928121558993202</v>
      </c>
      <c r="S112" s="5">
        <v>-0.15444557757246699</v>
      </c>
      <c r="T112" s="5">
        <v>0.27392767110579203</v>
      </c>
      <c r="U112" s="5">
        <v>-7.1338196218410602E-2</v>
      </c>
      <c r="V112" s="5">
        <v>0.51422914290786303</v>
      </c>
      <c r="W112" s="5">
        <v>-4.1007560002823698E-2</v>
      </c>
      <c r="X112" s="5">
        <v>0.34086198276081903</v>
      </c>
      <c r="Y112" s="5">
        <v>-0.14078571253408101</v>
      </c>
      <c r="Z112" s="5">
        <v>0.50178211530031902</v>
      </c>
      <c r="AA112" s="5">
        <v>-0.22106107732121499</v>
      </c>
      <c r="AB112" s="5">
        <v>0.17413136754916</v>
      </c>
      <c r="AC112" s="5">
        <v>-9.8493132923620705E-2</v>
      </c>
      <c r="AD112" s="5">
        <v>0.16628757333192101</v>
      </c>
      <c r="AE112" s="5">
        <v>-7.1775080625833904E-2</v>
      </c>
      <c r="AF112" s="5">
        <v>0.14379183650792099</v>
      </c>
      <c r="AG112" s="5">
        <v>-1.6701689199976302E-2</v>
      </c>
      <c r="AH112" s="5">
        <v>0.48861586778395599</v>
      </c>
      <c r="AI112" s="5">
        <v>-0.11531174942360201</v>
      </c>
      <c r="AJ112" s="5">
        <v>0.28545521744875402</v>
      </c>
      <c r="AK112" s="5">
        <v>-0.120926608340203</v>
      </c>
      <c r="AL112" s="5">
        <v>0.189338856958779</v>
      </c>
      <c r="AM112" s="5">
        <v>-9.0500806413744195E-2</v>
      </c>
      <c r="AN112" s="5">
        <v>0.45788286145094198</v>
      </c>
      <c r="AO112" s="5">
        <v>-0.146246719422052</v>
      </c>
      <c r="AP112" s="5">
        <v>0.28598797951569399</v>
      </c>
      <c r="AQ112" s="5">
        <v>-8.3620565426734905E-2</v>
      </c>
      <c r="AR112" s="5">
        <v>0.28792225921203102</v>
      </c>
      <c r="AS112" s="5">
        <v>-0.176279770392405</v>
      </c>
      <c r="AT112" s="5">
        <v>0.16660051937124001</v>
      </c>
      <c r="AU112" s="5">
        <v>-4.7449492912666098E-2</v>
      </c>
      <c r="AV112" s="5">
        <v>0.31132553911851202</v>
      </c>
      <c r="AW112" s="5">
        <v>-0.13627070221555901</v>
      </c>
      <c r="AX112" s="5">
        <v>0.28451921926218199</v>
      </c>
      <c r="AY112" s="5">
        <v>-0.178104204083505</v>
      </c>
      <c r="AZ112" s="5">
        <v>0.215552109606724</v>
      </c>
      <c r="BA112" s="5">
        <v>-0.121023262462452</v>
      </c>
      <c r="BB112" s="5">
        <v>0.297075567216671</v>
      </c>
      <c r="BC112" s="5">
        <v>-0.17884234795492701</v>
      </c>
      <c r="BD112" s="5">
        <v>0.551086885258946</v>
      </c>
      <c r="BE112" s="5">
        <v>-9.3719003297065895E-2</v>
      </c>
      <c r="BF112" s="5">
        <v>0.223356614255141</v>
      </c>
      <c r="BG112" s="5">
        <v>-7.7238746428453894E-2</v>
      </c>
      <c r="BH112" s="5">
        <v>0.28179026383921102</v>
      </c>
      <c r="BI112" s="5">
        <v>-0.16183075836883301</v>
      </c>
      <c r="BJ112" s="5">
        <v>0.109180333190984</v>
      </c>
      <c r="BK112" s="5">
        <v>6.7406859505932101E-2</v>
      </c>
      <c r="BL112" s="5">
        <v>0.25003607767494801</v>
      </c>
      <c r="BM112" s="5">
        <v>-5.7214364654959098E-2</v>
      </c>
      <c r="BN112" s="5">
        <v>0.42553309255307198</v>
      </c>
      <c r="BO112" s="5">
        <v>-6.2300726051142397E-2</v>
      </c>
      <c r="BP112" s="5">
        <v>0.41686773472184602</v>
      </c>
      <c r="BQ112" s="5">
        <v>-7.61668342342737E-2</v>
      </c>
      <c r="BR112" s="5">
        <v>0.23051271089742401</v>
      </c>
      <c r="BS112" s="5">
        <v>-0.14355600598207299</v>
      </c>
      <c r="BT112" s="5">
        <v>0.29176464775271499</v>
      </c>
      <c r="BU112" s="5">
        <v>-0.162490903814063</v>
      </c>
      <c r="BV112" s="5">
        <v>0.30755594067861902</v>
      </c>
      <c r="BW112" s="5">
        <v>-0.18943147148540801</v>
      </c>
      <c r="BX112" s="5">
        <v>0.26581357254737498</v>
      </c>
      <c r="BY112" s="5">
        <v>-0.173904824918932</v>
      </c>
      <c r="BZ112" s="5">
        <v>0.29837053228263499</v>
      </c>
      <c r="CA112" s="5">
        <v>-0.20934606510260201</v>
      </c>
      <c r="CB112" s="5">
        <v>0.17573857738488799</v>
      </c>
      <c r="CC112" s="5">
        <v>-6.6079390156381895E-2</v>
      </c>
      <c r="CD112" s="5">
        <v>0.29980234012831303</v>
      </c>
      <c r="CE112" s="5">
        <v>-0.15885862264428499</v>
      </c>
      <c r="CF112" s="5">
        <v>0.261297727476137</v>
      </c>
      <c r="CG112" s="5">
        <v>-0.16480815001722601</v>
      </c>
      <c r="CH112" s="5">
        <v>0.15394007342871999</v>
      </c>
      <c r="CI112" s="5">
        <v>-5.9286900938737397E-2</v>
      </c>
      <c r="CJ112" s="5">
        <v>0.31388287279203603</v>
      </c>
      <c r="CK112" s="5">
        <v>-8.8124335923717698E-2</v>
      </c>
      <c r="CL112" s="5">
        <v>0.360825749321046</v>
      </c>
      <c r="CM112" s="5">
        <v>-0.122362064154049</v>
      </c>
      <c r="CN112" s="5">
        <v>0.44054114889558599</v>
      </c>
      <c r="CO112" s="5">
        <v>-0.17983381654200201</v>
      </c>
      <c r="CP112" s="5">
        <v>0.27985795143530701</v>
      </c>
      <c r="CQ112" s="5">
        <v>-0.18769902630966401</v>
      </c>
      <c r="CR112" s="5">
        <v>0.2424643354628</v>
      </c>
      <c r="CS112" s="5">
        <v>-0.10726888806922601</v>
      </c>
      <c r="CT112" s="5">
        <v>0.32164130286671999</v>
      </c>
      <c r="CU112" s="5">
        <v>-0.11810184944273699</v>
      </c>
      <c r="CV112" s="5">
        <v>0.178631001939943</v>
      </c>
      <c r="CW112" s="5">
        <v>-3.9500494890173501E-2</v>
      </c>
      <c r="CX112" s="5">
        <v>0.26808724048168298</v>
      </c>
      <c r="CY112" s="5">
        <v>-7.6803985730107896E-2</v>
      </c>
      <c r="CZ112" s="5">
        <v>0.30428196621749698</v>
      </c>
      <c r="DA112" s="5">
        <v>-0.167463906699958</v>
      </c>
      <c r="DB112" s="5">
        <v>0.27627978838347</v>
      </c>
      <c r="DC112" s="5">
        <v>-3.4542695056129898E-2</v>
      </c>
      <c r="DD112" s="5">
        <v>0.21171899630489699</v>
      </c>
      <c r="DE112" s="5">
        <v>-8.5665804856140698E-2</v>
      </c>
      <c r="DF112" s="5">
        <v>0.40920326691164499</v>
      </c>
      <c r="DG112" s="5">
        <v>-0.25408965723145699</v>
      </c>
      <c r="DH112" s="5">
        <v>1</v>
      </c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</row>
    <row r="113" spans="1:389" x14ac:dyDescent="0.45">
      <c r="A113" s="4" t="str">
        <f ca="1">"ESP / beta2dist in "&amp;CELL("address",'damages-1990'!$K$57)</f>
        <v>ESP / beta2dist in '[BHM betas v3pd.xlsx]damages-1990'!$K$57</v>
      </c>
      <c r="B113" s="6">
        <v>-0.254404258213142</v>
      </c>
      <c r="C113" s="5">
        <v>0.32273446044339199</v>
      </c>
      <c r="D113" s="5">
        <v>1.55851700443986E-2</v>
      </c>
      <c r="E113" s="5">
        <v>0.25322180015808599</v>
      </c>
      <c r="F113" s="5">
        <v>-0.29033179924191099</v>
      </c>
      <c r="G113" s="5">
        <v>0.302487450216122</v>
      </c>
      <c r="H113" s="5">
        <v>-0.208443180251421</v>
      </c>
      <c r="I113" s="5">
        <v>5.2854803191415202E-2</v>
      </c>
      <c r="J113" s="5">
        <v>-7.3898241760360903E-2</v>
      </c>
      <c r="K113" s="5">
        <v>0.33537084593818001</v>
      </c>
      <c r="L113" s="5">
        <v>-4.5713186463274103E-2</v>
      </c>
      <c r="M113" s="5">
        <v>0.112299551965951</v>
      </c>
      <c r="N113" s="5">
        <v>-0.15324603640204901</v>
      </c>
      <c r="O113" s="5">
        <v>-1.42781656264158E-2</v>
      </c>
      <c r="P113" s="5">
        <v>-0.11590751877895</v>
      </c>
      <c r="Q113" s="5">
        <v>0.21614594297673401</v>
      </c>
      <c r="R113" s="5">
        <v>-1.4279313591365E-2</v>
      </c>
      <c r="S113" s="5">
        <v>0.26293924871789498</v>
      </c>
      <c r="T113" s="5">
        <v>-0.23839887247743499</v>
      </c>
      <c r="U113" s="5">
        <v>0.143481152561097</v>
      </c>
      <c r="V113" s="5">
        <v>-9.7479672145364599E-2</v>
      </c>
      <c r="W113" s="5">
        <v>4.3339061146366598E-2</v>
      </c>
      <c r="X113" s="5">
        <v>-5.5214959915909398E-2</v>
      </c>
      <c r="Y113" s="5">
        <v>0.28303399275550301</v>
      </c>
      <c r="Z113" s="5">
        <v>-0.35925273949334602</v>
      </c>
      <c r="AA113" s="5">
        <v>0.31028530885315497</v>
      </c>
      <c r="AB113" s="5">
        <v>2.3226318250724399E-2</v>
      </c>
      <c r="AC113" s="5">
        <v>0.198271067769972</v>
      </c>
      <c r="AD113" s="5">
        <v>1.24678079963087E-2</v>
      </c>
      <c r="AE113" s="5">
        <v>0.20620967146417901</v>
      </c>
      <c r="AF113" s="5">
        <v>0.24919276379691099</v>
      </c>
      <c r="AG113" s="5">
        <v>-6.30401251337004E-2</v>
      </c>
      <c r="AH113" s="5">
        <v>-0.212745804567361</v>
      </c>
      <c r="AI113" s="5">
        <v>0.17399158370739101</v>
      </c>
      <c r="AJ113" s="5">
        <v>-6.0921616844532102E-2</v>
      </c>
      <c r="AK113" s="5">
        <v>0.26997297809169402</v>
      </c>
      <c r="AL113" s="5">
        <v>7.7878822059574498E-2</v>
      </c>
      <c r="AM113" s="5">
        <v>3.5059086253631203E-2</v>
      </c>
      <c r="AN113" s="5">
        <v>-0.28238635317942501</v>
      </c>
      <c r="AO113" s="5">
        <v>0.22069405545333501</v>
      </c>
      <c r="AP113" s="5">
        <v>-0.30074337837380399</v>
      </c>
      <c r="AQ113" s="5">
        <v>0.219722728307474</v>
      </c>
      <c r="AR113" s="5">
        <v>1.30041225227527E-2</v>
      </c>
      <c r="AS113" s="5">
        <v>0.176930917319116</v>
      </c>
      <c r="AT113" s="5">
        <v>0.115411623828684</v>
      </c>
      <c r="AU113" s="5">
        <v>-4.4393186038670401E-2</v>
      </c>
      <c r="AV113" s="5">
        <v>8.8794122457445293E-2</v>
      </c>
      <c r="AW113" s="5">
        <v>0.14463902219480099</v>
      </c>
      <c r="AX113" s="5">
        <v>5.9854683625808799E-2</v>
      </c>
      <c r="AY113" s="5">
        <v>0.22728701527390999</v>
      </c>
      <c r="AZ113" s="5">
        <v>-8.90798697756984E-2</v>
      </c>
      <c r="BA113" s="5">
        <v>0.20749441930515999</v>
      </c>
      <c r="BB113" s="5">
        <v>-3.6670204454342901E-2</v>
      </c>
      <c r="BC113" s="5">
        <v>0.31817389305373001</v>
      </c>
      <c r="BD113" s="5">
        <v>-0.269236456964278</v>
      </c>
      <c r="BE113" s="5">
        <v>0.27362611073694099</v>
      </c>
      <c r="BF113" s="5">
        <v>5.7904043307697502E-2</v>
      </c>
      <c r="BG113" s="5">
        <v>0.13119815096062001</v>
      </c>
      <c r="BH113" s="5">
        <v>1.28190575117901E-2</v>
      </c>
      <c r="BI113" s="5">
        <v>0.25822219111829298</v>
      </c>
      <c r="BJ113" s="5">
        <v>-0.21821823038333399</v>
      </c>
      <c r="BK113" s="5">
        <v>-5.7793495235843997E-2</v>
      </c>
      <c r="BL113" s="5">
        <v>-0.23864720972266701</v>
      </c>
      <c r="BM113" s="5">
        <v>0.119686064463514</v>
      </c>
      <c r="BN113" s="5">
        <v>-0.25849472541459001</v>
      </c>
      <c r="BO113" s="5">
        <v>0.107111514540213</v>
      </c>
      <c r="BP113" s="5">
        <v>-0.32690942334017697</v>
      </c>
      <c r="BQ113" s="5">
        <v>0.18938770997434901</v>
      </c>
      <c r="BR113" s="5">
        <v>-0.117815734345187</v>
      </c>
      <c r="BS113" s="5">
        <v>0.33826054392256699</v>
      </c>
      <c r="BT113" s="5">
        <v>2.1655407148899498E-2</v>
      </c>
      <c r="BU113" s="5">
        <v>0.26409693199317003</v>
      </c>
      <c r="BV113" s="5">
        <v>-5.7915697573333501E-2</v>
      </c>
      <c r="BW113" s="5">
        <v>0.34896987710370603</v>
      </c>
      <c r="BX113" s="5">
        <v>-5.28893393501891E-2</v>
      </c>
      <c r="BY113" s="5">
        <v>0.31880277112219402</v>
      </c>
      <c r="BZ113" s="5">
        <v>-6.2893333407551405E-2</v>
      </c>
      <c r="CA113" s="5">
        <v>0.33206875159485699</v>
      </c>
      <c r="CB113" s="5">
        <v>4.0990185526195898E-2</v>
      </c>
      <c r="CC113" s="5">
        <v>0.119293464969461</v>
      </c>
      <c r="CD113" s="5">
        <v>-0.14246788510750499</v>
      </c>
      <c r="CE113" s="5">
        <v>0.230508429602513</v>
      </c>
      <c r="CF113" s="5">
        <v>-4.37435610937566E-2</v>
      </c>
      <c r="CG113" s="5">
        <v>0.19417553665684201</v>
      </c>
      <c r="CH113" s="5">
        <v>0.113420367535916</v>
      </c>
      <c r="CI113" s="5">
        <v>-2.83046149207953E-2</v>
      </c>
      <c r="CJ113" s="5">
        <v>-4.1138227186184997E-2</v>
      </c>
      <c r="CK113" s="5">
        <v>0.13844613480940801</v>
      </c>
      <c r="CL113" s="5">
        <v>-0.27459441750608499</v>
      </c>
      <c r="CM113" s="5">
        <v>0.196026071378369</v>
      </c>
      <c r="CN113" s="5">
        <v>-0.33484032111260198</v>
      </c>
      <c r="CO113" s="5">
        <v>0.26954547792976702</v>
      </c>
      <c r="CP113" s="5">
        <v>-0.20932384871885601</v>
      </c>
      <c r="CQ113" s="5">
        <v>0.35714967854790203</v>
      </c>
      <c r="CR113" s="5">
        <v>-0.121111588267408</v>
      </c>
      <c r="CS113" s="5">
        <v>0.22866727499422801</v>
      </c>
      <c r="CT113" s="5">
        <v>-0.29155337463161302</v>
      </c>
      <c r="CU113" s="5">
        <v>0.212723809590039</v>
      </c>
      <c r="CV113" s="5">
        <v>-8.3148534392244094E-2</v>
      </c>
      <c r="CW113" s="5">
        <v>0.188895534071465</v>
      </c>
      <c r="CX113" s="5">
        <v>5.6992664512187097E-2</v>
      </c>
      <c r="CY113" s="5">
        <v>0.141923211414861</v>
      </c>
      <c r="CZ113" s="5">
        <v>-6.0546792719959601E-2</v>
      </c>
      <c r="DA113" s="5">
        <v>0.26445972749893298</v>
      </c>
      <c r="DB113" s="5">
        <v>7.3870192744979898E-2</v>
      </c>
      <c r="DC113" s="5">
        <v>9.6704220433130594E-2</v>
      </c>
      <c r="DD113" s="5">
        <v>-7.0123836028694805E-2</v>
      </c>
      <c r="DE113" s="5">
        <v>0.24797019579232801</v>
      </c>
      <c r="DF113" s="5">
        <v>-0.142755430518546</v>
      </c>
      <c r="DG113" s="5">
        <v>0.323578363480575</v>
      </c>
      <c r="DH113" s="5">
        <v>-0.75797039922616904</v>
      </c>
      <c r="DI113" s="5">
        <v>1</v>
      </c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</row>
    <row r="114" spans="1:389" x14ac:dyDescent="0.45">
      <c r="A114" s="4" t="str">
        <f ca="1">"EST / beta1dist in "&amp;CELL("address",'damages-1990'!$J$58)</f>
        <v>EST / beta1dist in '[BHM betas v3pd.xlsx]damages-1990'!$J$58</v>
      </c>
      <c r="B114" s="6">
        <v>0.22175525245060701</v>
      </c>
      <c r="C114" s="5">
        <v>-0.24558095123409299</v>
      </c>
      <c r="D114" s="5">
        <v>9.05722814097671E-3</v>
      </c>
      <c r="E114" s="5">
        <v>-0.233532078706567</v>
      </c>
      <c r="F114" s="5">
        <v>0.329391879093968</v>
      </c>
      <c r="G114" s="5">
        <v>-0.31544803440906899</v>
      </c>
      <c r="H114" s="5">
        <v>0.49204479930316503</v>
      </c>
      <c r="I114" s="5">
        <v>-0.34003405345656101</v>
      </c>
      <c r="J114" s="5">
        <v>-0.13833980822347</v>
      </c>
      <c r="K114" s="5">
        <v>-9.6420080052166193E-2</v>
      </c>
      <c r="L114" s="5">
        <v>0.100254976753563</v>
      </c>
      <c r="M114" s="5">
        <v>-9.3291740819327798E-2</v>
      </c>
      <c r="N114" s="5">
        <v>0.16649387356005299</v>
      </c>
      <c r="O114" s="5">
        <v>8.6511889092145994E-2</v>
      </c>
      <c r="P114" s="5">
        <v>-8.4510797461212497E-2</v>
      </c>
      <c r="Q114" s="5">
        <v>-9.0550383468154902E-2</v>
      </c>
      <c r="R114" s="5">
        <v>-0.1483416830622</v>
      </c>
      <c r="S114" s="5">
        <v>-5.7852846811210001E-2</v>
      </c>
      <c r="T114" s="5">
        <v>0.570553986827668</v>
      </c>
      <c r="U114" s="5">
        <v>-0.45182797353635401</v>
      </c>
      <c r="V114" s="5">
        <v>0.223683794811571</v>
      </c>
      <c r="W114" s="5">
        <v>-0.22972305939653501</v>
      </c>
      <c r="X114" s="5">
        <v>-1.88208422195912E-2</v>
      </c>
      <c r="Y114" s="5">
        <v>-0.15435321947542999</v>
      </c>
      <c r="Z114" s="5">
        <v>0.58705706920370104</v>
      </c>
      <c r="AA114" s="5">
        <v>-0.54049156772767604</v>
      </c>
      <c r="AB114" s="5">
        <v>3.03588979210411E-2</v>
      </c>
      <c r="AC114" s="5">
        <v>-0.16525580252883501</v>
      </c>
      <c r="AD114" s="5">
        <v>0.101479086168191</v>
      </c>
      <c r="AE114" s="5">
        <v>-0.23363460765967101</v>
      </c>
      <c r="AF114" s="5">
        <v>-0.156045784037489</v>
      </c>
      <c r="AG114" s="5">
        <v>-6.0076338822062599E-2</v>
      </c>
      <c r="AH114" s="5">
        <v>0.40382168065589302</v>
      </c>
      <c r="AI114" s="5">
        <v>-0.37165214193780099</v>
      </c>
      <c r="AJ114" s="5">
        <v>-0.237443570273775</v>
      </c>
      <c r="AK114" s="5">
        <v>-4.3837942108042802E-2</v>
      </c>
      <c r="AL114" s="5">
        <v>-0.32064592079158</v>
      </c>
      <c r="AM114" s="5">
        <v>0.212428034175389</v>
      </c>
      <c r="AN114" s="5">
        <v>0.46732400701610899</v>
      </c>
      <c r="AO114" s="5">
        <v>-0.38015009489831297</v>
      </c>
      <c r="AP114" s="5">
        <v>0.85910723879253004</v>
      </c>
      <c r="AQ114" s="5">
        <v>-0.79702411369507797</v>
      </c>
      <c r="AR114" s="5">
        <v>-0.147780024394984</v>
      </c>
      <c r="AS114" s="5">
        <v>-5.7893273547295898E-2</v>
      </c>
      <c r="AT114" s="5">
        <v>-0.41755115430092898</v>
      </c>
      <c r="AU114" s="5">
        <v>0.31836264517866603</v>
      </c>
      <c r="AV114" s="5">
        <v>-0.234873966306752</v>
      </c>
      <c r="AW114" s="5">
        <v>8.8227927806501505E-4</v>
      </c>
      <c r="AX114" s="5">
        <v>-0.28139149930950502</v>
      </c>
      <c r="AY114" s="5">
        <v>3.2208588265861697E-2</v>
      </c>
      <c r="AZ114" s="5">
        <v>-0.111610091369477</v>
      </c>
      <c r="BA114" s="5">
        <v>-6.25930512856505E-2</v>
      </c>
      <c r="BB114" s="5">
        <v>-5.1944156258264103E-2</v>
      </c>
      <c r="BC114" s="5">
        <v>-0.23437654715783701</v>
      </c>
      <c r="BD114" s="5">
        <v>0.43196407920818503</v>
      </c>
      <c r="BE114" s="5">
        <v>-0.45361610489753301</v>
      </c>
      <c r="BF114" s="5">
        <v>-8.7965218736638998E-3</v>
      </c>
      <c r="BG114" s="5">
        <v>-0.20878603471562401</v>
      </c>
      <c r="BH114" s="5">
        <v>-8.6979095929368394E-2</v>
      </c>
      <c r="BI114" s="5">
        <v>-9.7088376960103098E-2</v>
      </c>
      <c r="BJ114" s="5">
        <v>0.55083564838825505</v>
      </c>
      <c r="BK114" s="5">
        <v>-0.28263961992520897</v>
      </c>
      <c r="BL114" s="5">
        <v>0.50225875469334602</v>
      </c>
      <c r="BM114" s="5">
        <v>-0.35661312425489999</v>
      </c>
      <c r="BN114" s="5">
        <v>0.374866873815211</v>
      </c>
      <c r="BO114" s="5">
        <v>-0.18400037905483799</v>
      </c>
      <c r="BP114" s="5">
        <v>0.59727011552656495</v>
      </c>
      <c r="BQ114" s="5">
        <v>-0.50574322965280605</v>
      </c>
      <c r="BR114" s="5">
        <v>0.11018085916742</v>
      </c>
      <c r="BS114" s="5">
        <v>-0.22409028441095799</v>
      </c>
      <c r="BT114" s="5">
        <v>-7.7363910048267703E-2</v>
      </c>
      <c r="BU114" s="5">
        <v>-0.141505116220591</v>
      </c>
      <c r="BV114" s="5">
        <v>-2.6981257080526001E-2</v>
      </c>
      <c r="BW114" s="5">
        <v>-0.185067293131982</v>
      </c>
      <c r="BX114" s="5">
        <v>1.93577977944463E-3</v>
      </c>
      <c r="BY114" s="5">
        <v>-0.18880373326816599</v>
      </c>
      <c r="BZ114" s="5">
        <v>-0.120503077273946</v>
      </c>
      <c r="CA114" s="5">
        <v>-7.4933881754854395E-2</v>
      </c>
      <c r="CB114" s="5">
        <v>-0.17470984669887599</v>
      </c>
      <c r="CC114" s="5">
        <v>9.6902515501412594E-3</v>
      </c>
      <c r="CD114" s="5">
        <v>-0.14765185738768399</v>
      </c>
      <c r="CE114" s="5">
        <v>3.5012840409852503E-2</v>
      </c>
      <c r="CF114" s="5">
        <v>-0.17507177266842</v>
      </c>
      <c r="CG114" s="5">
        <v>1.95053233483794E-2</v>
      </c>
      <c r="CH114" s="5">
        <v>-0.29872457073742598</v>
      </c>
      <c r="CI114" s="5">
        <v>0.18458455307884999</v>
      </c>
      <c r="CJ114" s="5">
        <v>-6.0727619714729501E-2</v>
      </c>
      <c r="CK114" s="5">
        <v>-7.5024498847583401E-2</v>
      </c>
      <c r="CL114" s="5">
        <v>0.632261870035284</v>
      </c>
      <c r="CM114" s="5">
        <v>-0.55142505152490295</v>
      </c>
      <c r="CN114" s="5">
        <v>0.676240268527457</v>
      </c>
      <c r="CO114" s="5">
        <v>-0.62591003707409598</v>
      </c>
      <c r="CP114" s="5">
        <v>1.5722983275392101E-2</v>
      </c>
      <c r="CQ114" s="5">
        <v>-0.114111221163504</v>
      </c>
      <c r="CR114" s="5">
        <v>-9.9103515735390696E-2</v>
      </c>
      <c r="CS114" s="5">
        <v>-6.3916851250238105E-2</v>
      </c>
      <c r="CT114" s="5">
        <v>0.772702567985183</v>
      </c>
      <c r="CU114" s="5">
        <v>-0.71454840417420895</v>
      </c>
      <c r="CV114" s="5">
        <v>5.2955760528460398E-2</v>
      </c>
      <c r="CW114" s="5">
        <v>-0.21579429234237299</v>
      </c>
      <c r="CX114" s="5">
        <v>9.4852843524312197E-3</v>
      </c>
      <c r="CY114" s="5">
        <v>-0.25995127261057699</v>
      </c>
      <c r="CZ114" s="5">
        <v>-0.11286923262328399</v>
      </c>
      <c r="DA114" s="5">
        <v>-7.0784859716038706E-2</v>
      </c>
      <c r="DB114" s="5">
        <v>-6.72207430170393E-2</v>
      </c>
      <c r="DC114" s="5">
        <v>-0.28097267869682102</v>
      </c>
      <c r="DD114" s="5">
        <v>2.06170901642064E-2</v>
      </c>
      <c r="DE114" s="5">
        <v>-0.13570079229153301</v>
      </c>
      <c r="DF114" s="5">
        <v>-0.30858729159764298</v>
      </c>
      <c r="DG114" s="5">
        <v>0.17060501446680101</v>
      </c>
      <c r="DH114" s="5">
        <v>0.22869820529995799</v>
      </c>
      <c r="DI114" s="5">
        <v>-0.28264044020025098</v>
      </c>
      <c r="DJ114" s="5">
        <v>1</v>
      </c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</row>
    <row r="115" spans="1:389" x14ac:dyDescent="0.45">
      <c r="A115" s="4" t="str">
        <f ca="1">"EST / beta2dist in "&amp;CELL("address",'damages-1990'!$K$58)</f>
        <v>EST / beta2dist in '[BHM betas v3pd.xlsx]damages-1990'!$K$58</v>
      </c>
      <c r="B115" s="6">
        <v>-4.38133407275626E-2</v>
      </c>
      <c r="C115" s="5">
        <v>0.15641387247515001</v>
      </c>
      <c r="D115" s="5">
        <v>-3.75694007388346E-2</v>
      </c>
      <c r="E115" s="5">
        <v>0.27653974423604899</v>
      </c>
      <c r="F115" s="5">
        <v>-0.13057692824959799</v>
      </c>
      <c r="G115" s="5">
        <v>0.218045433623931</v>
      </c>
      <c r="H115" s="5">
        <v>-0.36099519997027102</v>
      </c>
      <c r="I115" s="5">
        <v>0.33327873021705401</v>
      </c>
      <c r="J115" s="5">
        <v>0.12705027051891199</v>
      </c>
      <c r="K115" s="5">
        <v>8.1117507152228902E-2</v>
      </c>
      <c r="L115" s="5">
        <v>3.2677080174773603E-2</v>
      </c>
      <c r="M115" s="5">
        <v>1.4668931667515E-2</v>
      </c>
      <c r="N115" s="5">
        <v>4.13207521353584E-2</v>
      </c>
      <c r="O115" s="5">
        <v>-0.15343695281799599</v>
      </c>
      <c r="P115" s="5">
        <v>6.7422932862713905E-2</v>
      </c>
      <c r="Q115" s="5">
        <v>0.11083613702490699</v>
      </c>
      <c r="R115" s="5">
        <v>0.16994267230937701</v>
      </c>
      <c r="S115" s="5">
        <v>5.4123240325663402E-2</v>
      </c>
      <c r="T115" s="5">
        <v>-0.44551079058324899</v>
      </c>
      <c r="U115" s="5">
        <v>0.45864650152311398</v>
      </c>
      <c r="V115" s="5">
        <v>-4.0527263867565701E-2</v>
      </c>
      <c r="W115" s="5">
        <v>0.12886824161270999</v>
      </c>
      <c r="X115" s="5">
        <v>2.4901104150430301E-3</v>
      </c>
      <c r="Y115" s="5">
        <v>0.18409769678792701</v>
      </c>
      <c r="Z115" s="5">
        <v>-0.42852469747855898</v>
      </c>
      <c r="AA115" s="5">
        <v>0.52462731258697404</v>
      </c>
      <c r="AB115" s="5">
        <v>-8.6372738338168706E-2</v>
      </c>
      <c r="AC115" s="5">
        <v>0.20783177695096899</v>
      </c>
      <c r="AD115" s="5">
        <v>-0.13055271610622801</v>
      </c>
      <c r="AE115" s="5">
        <v>0.25537740062851499</v>
      </c>
      <c r="AF115" s="5">
        <v>0.138409890528749</v>
      </c>
      <c r="AG115" s="5">
        <v>7.10606833151958E-2</v>
      </c>
      <c r="AH115" s="5">
        <v>-0.220529088180514</v>
      </c>
      <c r="AI115" s="5">
        <v>0.30550034545482202</v>
      </c>
      <c r="AJ115" s="5">
        <v>0.22298937971489799</v>
      </c>
      <c r="AK115" s="5">
        <v>3.0458068982798001E-2</v>
      </c>
      <c r="AL115" s="5">
        <v>0.34288543275477001</v>
      </c>
      <c r="AM115" s="5">
        <v>-0.26164130368653599</v>
      </c>
      <c r="AN115" s="5">
        <v>-0.29211414964145499</v>
      </c>
      <c r="AO115" s="5">
        <v>0.34489208597935</v>
      </c>
      <c r="AP115" s="5">
        <v>-0.76807236326388995</v>
      </c>
      <c r="AQ115" s="5">
        <v>0.86016329152570603</v>
      </c>
      <c r="AR115" s="5">
        <v>9.5727542822886105E-2</v>
      </c>
      <c r="AS115" s="5">
        <v>0.108936511759623</v>
      </c>
      <c r="AT115" s="5">
        <v>0.48252977980768202</v>
      </c>
      <c r="AU115" s="5">
        <v>-0.41337537116761802</v>
      </c>
      <c r="AV115" s="5">
        <v>0.237720245022747</v>
      </c>
      <c r="AW115" s="5">
        <v>1.97541937231618E-3</v>
      </c>
      <c r="AX115" s="5">
        <v>0.24883759559412699</v>
      </c>
      <c r="AY115" s="5">
        <v>-1.22116340604531E-2</v>
      </c>
      <c r="AZ115" s="5">
        <v>9.8497050917134496E-2</v>
      </c>
      <c r="BA115" s="5">
        <v>7.92148612189887E-2</v>
      </c>
      <c r="BB115" s="5">
        <v>1.22161882564495E-2</v>
      </c>
      <c r="BC115" s="5">
        <v>0.274782317931968</v>
      </c>
      <c r="BD115" s="5">
        <v>-0.21835004782418599</v>
      </c>
      <c r="BE115" s="5">
        <v>0.344419980832885</v>
      </c>
      <c r="BF115" s="5">
        <v>-2.7863624287937198E-3</v>
      </c>
      <c r="BG115" s="5">
        <v>0.232538762450717</v>
      </c>
      <c r="BH115" s="5">
        <v>3.6320676977546699E-2</v>
      </c>
      <c r="BI115" s="5">
        <v>0.14361959407746699</v>
      </c>
      <c r="BJ115" s="5">
        <v>-0.42826123477491401</v>
      </c>
      <c r="BK115" s="5">
        <v>0.283979250607441</v>
      </c>
      <c r="BL115" s="5">
        <v>-0.36497360599531198</v>
      </c>
      <c r="BM115" s="5">
        <v>0.35085393579046797</v>
      </c>
      <c r="BN115" s="5">
        <v>-0.16152934857888401</v>
      </c>
      <c r="BO115" s="5">
        <v>0.112184642448905</v>
      </c>
      <c r="BP115" s="5">
        <v>-0.36868614223921797</v>
      </c>
      <c r="BQ115" s="5">
        <v>0.41094705206468102</v>
      </c>
      <c r="BR115" s="5">
        <v>-0.138509666298546</v>
      </c>
      <c r="BS115" s="5">
        <v>0.249369483498594</v>
      </c>
      <c r="BT115" s="5">
        <v>5.2698123362111299E-2</v>
      </c>
      <c r="BU115" s="5">
        <v>0.16901927077224799</v>
      </c>
      <c r="BV115" s="5">
        <v>-1.48057059243729E-2</v>
      </c>
      <c r="BW115" s="5">
        <v>0.22175608195457699</v>
      </c>
      <c r="BX115" s="5">
        <v>-5.7715140384338698E-2</v>
      </c>
      <c r="BY115" s="5">
        <v>0.24333653515640499</v>
      </c>
      <c r="BZ115" s="5">
        <v>7.2007432025778598E-2</v>
      </c>
      <c r="CA115" s="5">
        <v>0.11326239293590799</v>
      </c>
      <c r="CB115" s="5">
        <v>0.142533803665926</v>
      </c>
      <c r="CC115" s="5">
        <v>1.2936886435789901E-2</v>
      </c>
      <c r="CD115" s="5">
        <v>0.18031008962287701</v>
      </c>
      <c r="CE115" s="5">
        <v>-6.8645093064502796E-2</v>
      </c>
      <c r="CF115" s="5">
        <v>0.12794004942133</v>
      </c>
      <c r="CG115" s="5">
        <v>2.0717042863466199E-2</v>
      </c>
      <c r="CH115" s="5">
        <v>0.294903846429653</v>
      </c>
      <c r="CI115" s="5">
        <v>-0.20129702024086699</v>
      </c>
      <c r="CJ115" s="5">
        <v>8.3831429182511796E-2</v>
      </c>
      <c r="CK115" s="5">
        <v>7.8581713622955005E-2</v>
      </c>
      <c r="CL115" s="5">
        <v>-0.49324104126289903</v>
      </c>
      <c r="CM115" s="5">
        <v>0.55867410708781795</v>
      </c>
      <c r="CN115" s="5">
        <v>-0.52896366885105595</v>
      </c>
      <c r="CO115" s="5">
        <v>0.63020489042711803</v>
      </c>
      <c r="CP115" s="5">
        <v>-3.9265141480512702E-2</v>
      </c>
      <c r="CQ115" s="5">
        <v>0.122212978668034</v>
      </c>
      <c r="CR115" s="5">
        <v>9.5155053347935906E-2</v>
      </c>
      <c r="CS115" s="5">
        <v>8.6938872837334299E-2</v>
      </c>
      <c r="CT115" s="5">
        <v>-0.68695088918730196</v>
      </c>
      <c r="CU115" s="5">
        <v>0.76792575933873997</v>
      </c>
      <c r="CV115" s="5">
        <v>-5.4995232962955297E-2</v>
      </c>
      <c r="CW115" s="5">
        <v>0.22194168689890501</v>
      </c>
      <c r="CX115" s="5">
        <v>-1.16691409891922E-2</v>
      </c>
      <c r="CY115" s="5">
        <v>0.263682352019525</v>
      </c>
      <c r="CZ115" s="5">
        <v>6.6195335630852795E-2</v>
      </c>
      <c r="DA115" s="5">
        <v>0.120440385189787</v>
      </c>
      <c r="DB115" s="5">
        <v>5.9834849991444998E-2</v>
      </c>
      <c r="DC115" s="5">
        <v>0.28814470038205198</v>
      </c>
      <c r="DD115" s="5">
        <v>-1.9716407096158701E-2</v>
      </c>
      <c r="DE115" s="5">
        <v>0.12078574540795101</v>
      </c>
      <c r="DF115" s="5">
        <v>0.33703545880639302</v>
      </c>
      <c r="DG115" s="5">
        <v>-0.20142016564661999</v>
      </c>
      <c r="DH115" s="5">
        <v>-6.1085873334092503E-2</v>
      </c>
      <c r="DI115" s="5">
        <v>0.20311909472220999</v>
      </c>
      <c r="DJ115" s="5">
        <v>-0.91792474838238003</v>
      </c>
      <c r="DK115" s="5">
        <v>1</v>
      </c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</row>
    <row r="116" spans="1:389" x14ac:dyDescent="0.45">
      <c r="A116" s="4" t="str">
        <f ca="1">"ETH / beta1dist in "&amp;CELL("address",'damages-1990'!$J$59)</f>
        <v>ETH / beta1dist in '[BHM betas v3pd.xlsx]damages-1990'!$J$59</v>
      </c>
      <c r="B116" s="6">
        <v>0.26237278692439697</v>
      </c>
      <c r="C116" s="5">
        <v>6.4872759455722503E-2</v>
      </c>
      <c r="D116" s="5">
        <v>0.55908129081965596</v>
      </c>
      <c r="E116" s="5">
        <v>-0.340399548293501</v>
      </c>
      <c r="F116" s="5">
        <v>0.23705039097432501</v>
      </c>
      <c r="G116" s="5">
        <v>-1.2413531740361301E-3</v>
      </c>
      <c r="H116" s="5">
        <v>-0.16352619169058299</v>
      </c>
      <c r="I116" s="5">
        <v>0.199276878902965</v>
      </c>
      <c r="J116" s="5">
        <v>0.66859578267474795</v>
      </c>
      <c r="K116" s="5">
        <v>-0.436329540435202</v>
      </c>
      <c r="L116" s="5">
        <v>0.398661498719314</v>
      </c>
      <c r="M116" s="5">
        <v>-0.120821421237316</v>
      </c>
      <c r="N116" s="5">
        <v>8.5138009095888506E-2</v>
      </c>
      <c r="O116" s="5">
        <v>-8.1752236034698306E-2</v>
      </c>
      <c r="P116" s="5">
        <v>0.40350764422605401</v>
      </c>
      <c r="Q116" s="5">
        <v>-0.26524827707285198</v>
      </c>
      <c r="R116" s="5">
        <v>0.48086723943724402</v>
      </c>
      <c r="S116" s="5">
        <v>-0.24379938651911401</v>
      </c>
      <c r="T116" s="5">
        <v>0.125039039245609</v>
      </c>
      <c r="U116" s="5">
        <v>-0.12534593601595401</v>
      </c>
      <c r="V116" s="5">
        <v>0.227414654896851</v>
      </c>
      <c r="W116" s="5">
        <v>0.14427513541306</v>
      </c>
      <c r="X116" s="5">
        <v>0.60861822270575805</v>
      </c>
      <c r="Y116" s="5">
        <v>-0.381915511409185</v>
      </c>
      <c r="Z116" s="5">
        <v>6.0562546985304298E-2</v>
      </c>
      <c r="AA116" s="5">
        <v>6.3748461490486699E-2</v>
      </c>
      <c r="AB116" s="5">
        <v>0.46274215439230598</v>
      </c>
      <c r="AC116" s="5">
        <v>-0.30307129475603101</v>
      </c>
      <c r="AD116" s="5">
        <v>0.44699543588221702</v>
      </c>
      <c r="AE116" s="5">
        <v>-0.237830714407784</v>
      </c>
      <c r="AF116" s="5">
        <v>0.31270613458375002</v>
      </c>
      <c r="AG116" s="5">
        <v>-0.120450089278442</v>
      </c>
      <c r="AH116" s="5">
        <v>0.21191633107274799</v>
      </c>
      <c r="AI116" s="5">
        <v>-2.9363675978887602E-2</v>
      </c>
      <c r="AJ116" s="5">
        <v>0.55649057519704603</v>
      </c>
      <c r="AK116" s="5">
        <v>-0.29008761711556402</v>
      </c>
      <c r="AL116" s="5">
        <v>0.26581685045533998</v>
      </c>
      <c r="AM116" s="5">
        <v>-0.10614625055390101</v>
      </c>
      <c r="AN116" s="5">
        <v>0.22956987559286099</v>
      </c>
      <c r="AO116" s="5">
        <v>-0.14391376421034699</v>
      </c>
      <c r="AP116" s="5">
        <v>1.6657929684993699E-2</v>
      </c>
      <c r="AQ116" s="5">
        <v>-5.3261543906954001E-3</v>
      </c>
      <c r="AR116" s="5">
        <v>0.41900060424355001</v>
      </c>
      <c r="AS116" s="5">
        <v>-0.19976482651584199</v>
      </c>
      <c r="AT116" s="5">
        <v>8.1584121761680603E-2</v>
      </c>
      <c r="AU116" s="5">
        <v>0.130801471835824</v>
      </c>
      <c r="AV116" s="5">
        <v>0.459588578743377</v>
      </c>
      <c r="AW116" s="5">
        <v>-0.181416925874098</v>
      </c>
      <c r="AX116" s="5">
        <v>0.56463214111592197</v>
      </c>
      <c r="AY116" s="5">
        <v>-0.366045853224091</v>
      </c>
      <c r="AZ116" s="5">
        <v>0.54258373544702299</v>
      </c>
      <c r="BA116" s="5">
        <v>-0.39547922587635198</v>
      </c>
      <c r="BB116" s="5">
        <v>0.54743962979614502</v>
      </c>
      <c r="BC116" s="5">
        <v>-0.34451551462333002</v>
      </c>
      <c r="BD116" s="5">
        <v>0.11668803694757</v>
      </c>
      <c r="BE116" s="5">
        <v>0.22237677375916201</v>
      </c>
      <c r="BF116" s="5">
        <v>0.376696254764189</v>
      </c>
      <c r="BG116" s="5">
        <v>-0.15588827698242899</v>
      </c>
      <c r="BH116" s="5">
        <v>0.63458486630460997</v>
      </c>
      <c r="BI116" s="5">
        <v>-0.44168025905323999</v>
      </c>
      <c r="BJ116" s="5">
        <v>-0.202654367354522</v>
      </c>
      <c r="BK116" s="5">
        <v>0.18732649733978801</v>
      </c>
      <c r="BL116" s="5">
        <v>8.6462705780353394E-2</v>
      </c>
      <c r="BM116" s="5">
        <v>-9.5463858581806796E-2</v>
      </c>
      <c r="BN116" s="5">
        <v>-0.106690606063125</v>
      </c>
      <c r="BO116" s="5">
        <v>0.309445437549563</v>
      </c>
      <c r="BP116" s="5">
        <v>-0.11840740730705999</v>
      </c>
      <c r="BQ116" s="5">
        <v>0.33358808090139402</v>
      </c>
      <c r="BR116" s="5">
        <v>0.53598810778706796</v>
      </c>
      <c r="BS116" s="5">
        <v>-0.37744037134166603</v>
      </c>
      <c r="BT116" s="5">
        <v>0.575985689217833</v>
      </c>
      <c r="BU116" s="5">
        <v>-0.38502588691502199</v>
      </c>
      <c r="BV116" s="5">
        <v>0.63037681307659599</v>
      </c>
      <c r="BW116" s="5">
        <v>-0.437201675057038</v>
      </c>
      <c r="BX116" s="5">
        <v>0.52101951925194501</v>
      </c>
      <c r="BY116" s="5">
        <v>-0.35604568906385498</v>
      </c>
      <c r="BZ116" s="5">
        <v>0.62891625884017499</v>
      </c>
      <c r="CA116" s="5">
        <v>-0.45341807030873599</v>
      </c>
      <c r="CB116" s="5">
        <v>0.27867382192418699</v>
      </c>
      <c r="CC116" s="5">
        <v>-0.122373464238707</v>
      </c>
      <c r="CD116" s="5">
        <v>0.33049758167899101</v>
      </c>
      <c r="CE116" s="5">
        <v>-0.15078576768541299</v>
      </c>
      <c r="CF116" s="5">
        <v>0.47603656057058302</v>
      </c>
      <c r="CG116" s="5">
        <v>-0.29294209867904702</v>
      </c>
      <c r="CH116" s="5">
        <v>0.21601149093779701</v>
      </c>
      <c r="CI116" s="5">
        <v>-7.4163426461866799E-2</v>
      </c>
      <c r="CJ116" s="5">
        <v>0.16468568104318901</v>
      </c>
      <c r="CK116" s="5">
        <v>0.102757230802557</v>
      </c>
      <c r="CL116" s="5">
        <v>0.13652211964105501</v>
      </c>
      <c r="CM116" s="5">
        <v>-9.6478013971896398E-2</v>
      </c>
      <c r="CN116" s="5">
        <v>0.10780185552920001</v>
      </c>
      <c r="CO116" s="5">
        <v>-3.1487039205876997E-2</v>
      </c>
      <c r="CP116" s="5">
        <v>0.72088430432219797</v>
      </c>
      <c r="CQ116" s="5">
        <v>-0.50323341240618003</v>
      </c>
      <c r="CR116" s="5">
        <v>0.42257505840257398</v>
      </c>
      <c r="CS116" s="5">
        <v>-0.26407322591428301</v>
      </c>
      <c r="CT116" s="5">
        <v>9.6686042913984901E-2</v>
      </c>
      <c r="CU116" s="5">
        <v>-7.4918731802240596E-2</v>
      </c>
      <c r="CV116" s="5">
        <v>0.33340066767249499</v>
      </c>
      <c r="CW116" s="5">
        <v>-0.17750835073122501</v>
      </c>
      <c r="CX116" s="5">
        <v>0.300189428259446</v>
      </c>
      <c r="CY116" s="5">
        <v>-1.0036449094697201E-2</v>
      </c>
      <c r="CZ116" s="5">
        <v>0.58290457433618903</v>
      </c>
      <c r="DA116" s="5">
        <v>-0.39332532940035803</v>
      </c>
      <c r="DB116" s="5">
        <v>0.290199926993919</v>
      </c>
      <c r="DC116" s="5">
        <v>0.128736812754463</v>
      </c>
      <c r="DD116" s="5">
        <v>0.62132702033885401</v>
      </c>
      <c r="DE116" s="5">
        <v>-0.36838735819785101</v>
      </c>
      <c r="DF116" s="5">
        <v>0.51323241813132603</v>
      </c>
      <c r="DG116" s="5">
        <v>-0.30169385386558201</v>
      </c>
      <c r="DH116" s="5">
        <v>0.37869932342111601</v>
      </c>
      <c r="DI116" s="5">
        <v>-0.15875302004709901</v>
      </c>
      <c r="DJ116" s="5">
        <v>-5.8607438704362302E-2</v>
      </c>
      <c r="DK116" s="5">
        <v>5.4507452516062503E-2</v>
      </c>
      <c r="DL116" s="5">
        <v>1</v>
      </c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</row>
    <row r="117" spans="1:389" x14ac:dyDescent="0.45">
      <c r="A117" s="4" t="str">
        <f ca="1">"ETH / beta2dist in "&amp;CELL("address",'damages-1990'!$K$59)</f>
        <v>ETH / beta2dist in '[BHM betas v3pd.xlsx]damages-1990'!$K$59</v>
      </c>
      <c r="B117" s="6">
        <v>-9.2563425403705504E-2</v>
      </c>
      <c r="C117" s="5">
        <v>0.23578554177588701</v>
      </c>
      <c r="D117" s="5">
        <v>-0.233687167672568</v>
      </c>
      <c r="E117" s="5">
        <v>0.56771411704723296</v>
      </c>
      <c r="F117" s="5">
        <v>-6.5761496658116106E-2</v>
      </c>
      <c r="G117" s="5">
        <v>0.109701528074499</v>
      </c>
      <c r="H117" s="5">
        <v>0.13677078271793799</v>
      </c>
      <c r="I117" s="5">
        <v>-0.24516654342111899</v>
      </c>
      <c r="J117" s="5">
        <v>-0.35032440417219701</v>
      </c>
      <c r="K117" s="5">
        <v>0.60377869250891303</v>
      </c>
      <c r="L117" s="5">
        <v>-6.5712967932178207E-2</v>
      </c>
      <c r="M117" s="5">
        <v>0.20604685296879799</v>
      </c>
      <c r="N117" s="5">
        <v>-8.8797134397561997E-2</v>
      </c>
      <c r="O117" s="5">
        <v>9.2214643472391805E-2</v>
      </c>
      <c r="P117" s="5">
        <v>-0.37212874842184002</v>
      </c>
      <c r="Q117" s="5">
        <v>0.52449610730596796</v>
      </c>
      <c r="R117" s="5">
        <v>-0.13145515902246299</v>
      </c>
      <c r="S117" s="5">
        <v>0.412967384192653</v>
      </c>
      <c r="T117" s="5">
        <v>-0.178927426065108</v>
      </c>
      <c r="U117" s="5">
        <v>0.186737777316899</v>
      </c>
      <c r="V117" s="5">
        <v>1.8751838420384401E-2</v>
      </c>
      <c r="W117" s="5">
        <v>-2.6083719660159599E-3</v>
      </c>
      <c r="X117" s="5">
        <v>-0.31496361228091302</v>
      </c>
      <c r="Y117" s="5">
        <v>0.60468564394965496</v>
      </c>
      <c r="Z117" s="5">
        <v>-6.96323243622958E-3</v>
      </c>
      <c r="AA117" s="5">
        <v>-1.18388674007835E-3</v>
      </c>
      <c r="AB117" s="5">
        <v>-0.17795268846304599</v>
      </c>
      <c r="AC117" s="5">
        <v>0.48785198286868803</v>
      </c>
      <c r="AD117" s="5">
        <v>-0.206212277586478</v>
      </c>
      <c r="AE117" s="5">
        <v>0.47816545456540299</v>
      </c>
      <c r="AF117" s="5">
        <v>-6.9878369104358198E-2</v>
      </c>
      <c r="AG117" s="5">
        <v>0.29810382711309802</v>
      </c>
      <c r="AH117" s="5">
        <v>-7.6151179170912395E-2</v>
      </c>
      <c r="AI117" s="5">
        <v>0.117553873205159</v>
      </c>
      <c r="AJ117" s="5">
        <v>-0.31951611415831399</v>
      </c>
      <c r="AK117" s="5">
        <v>0.49785716037855998</v>
      </c>
      <c r="AL117" s="5">
        <v>0.12546861955997601</v>
      </c>
      <c r="AM117" s="5">
        <v>-5.2761197609211302E-2</v>
      </c>
      <c r="AN117" s="5">
        <v>-0.204009931535233</v>
      </c>
      <c r="AO117" s="5">
        <v>0.254951221955243</v>
      </c>
      <c r="AP117" s="5">
        <v>-0.14201372326926501</v>
      </c>
      <c r="AQ117" s="5">
        <v>0.170325605656379</v>
      </c>
      <c r="AR117" s="5">
        <v>-7.3657155211501499E-2</v>
      </c>
      <c r="AS117" s="5">
        <v>0.246101923072265</v>
      </c>
      <c r="AT117" s="5">
        <v>0.256365509858275</v>
      </c>
      <c r="AU117" s="5">
        <v>-0.24796098976001599</v>
      </c>
      <c r="AV117" s="5">
        <v>-6.5161819665527906E-2</v>
      </c>
      <c r="AW117" s="5">
        <v>0.31800797575179701</v>
      </c>
      <c r="AX117" s="5">
        <v>-0.197648530658035</v>
      </c>
      <c r="AY117" s="5">
        <v>0.519025436950035</v>
      </c>
      <c r="AZ117" s="5">
        <v>-0.47308363657475999</v>
      </c>
      <c r="BA117" s="5">
        <v>0.61890714580985995</v>
      </c>
      <c r="BB117" s="5">
        <v>-0.171267746521334</v>
      </c>
      <c r="BC117" s="5">
        <v>0.49943759872211202</v>
      </c>
      <c r="BD117" s="5">
        <v>-2.9034747847849401E-2</v>
      </c>
      <c r="BE117" s="5">
        <v>9.9667683012315794E-2</v>
      </c>
      <c r="BF117" s="5">
        <v>-8.71978219779313E-2</v>
      </c>
      <c r="BG117" s="5">
        <v>0.29021165683529498</v>
      </c>
      <c r="BH117" s="5">
        <v>-0.29692617206409</v>
      </c>
      <c r="BI117" s="5">
        <v>0.65801900767103305</v>
      </c>
      <c r="BJ117" s="5">
        <v>-2.8377832618271499E-2</v>
      </c>
      <c r="BK117" s="5">
        <v>-0.16816840689957899</v>
      </c>
      <c r="BL117" s="5">
        <v>-0.15930764084148899</v>
      </c>
      <c r="BM117" s="5">
        <v>0.13744976675637399</v>
      </c>
      <c r="BN117" s="5">
        <v>8.2661984161550198E-2</v>
      </c>
      <c r="BO117" s="5">
        <v>-0.21941683313695901</v>
      </c>
      <c r="BP117" s="5">
        <v>7.40406928649473E-2</v>
      </c>
      <c r="BQ117" s="5">
        <v>-0.25282288539090197</v>
      </c>
      <c r="BR117" s="5">
        <v>-0.33055340309908299</v>
      </c>
      <c r="BS117" s="5">
        <v>0.64533508250722904</v>
      </c>
      <c r="BT117" s="5">
        <v>-0.19365807811799601</v>
      </c>
      <c r="BU117" s="5">
        <v>0.57199129796900305</v>
      </c>
      <c r="BV117" s="5">
        <v>-0.29666131149453101</v>
      </c>
      <c r="BW117" s="5">
        <v>0.65532746811132803</v>
      </c>
      <c r="BX117" s="5">
        <v>-0.19883784331071599</v>
      </c>
      <c r="BY117" s="5">
        <v>0.54308181806237499</v>
      </c>
      <c r="BZ117" s="5">
        <v>-0.33384718071212499</v>
      </c>
      <c r="CA117" s="5">
        <v>0.65342342448539004</v>
      </c>
      <c r="CB117" s="5">
        <v>7.0144693435613195E-4</v>
      </c>
      <c r="CC117" s="5">
        <v>0.20056816812430101</v>
      </c>
      <c r="CD117" s="5">
        <v>-0.21269713796138401</v>
      </c>
      <c r="CE117" s="5">
        <v>0.33064470452826999</v>
      </c>
      <c r="CF117" s="5">
        <v>-0.31647395797436101</v>
      </c>
      <c r="CG117" s="5">
        <v>0.47591863291979197</v>
      </c>
      <c r="CH117" s="5">
        <v>0.19467551035991501</v>
      </c>
      <c r="CI117" s="5">
        <v>-0.11551726387477</v>
      </c>
      <c r="CJ117" s="5">
        <v>4.5213100415688101E-2</v>
      </c>
      <c r="CK117" s="5">
        <v>-3.8152683538525897E-2</v>
      </c>
      <c r="CL117" s="5">
        <v>-0.12825873082681999</v>
      </c>
      <c r="CM117" s="5">
        <v>0.14141461539342301</v>
      </c>
      <c r="CN117" s="5">
        <v>-7.5156149707899106E-2</v>
      </c>
      <c r="CO117" s="5">
        <v>7.6032068761295396E-2</v>
      </c>
      <c r="CP117" s="5">
        <v>-0.66768969708735804</v>
      </c>
      <c r="CQ117" s="5">
        <v>0.81302590940275998</v>
      </c>
      <c r="CR117" s="5">
        <v>-0.36911279437932498</v>
      </c>
      <c r="CS117" s="5">
        <v>0.52690495251797398</v>
      </c>
      <c r="CT117" s="5">
        <v>-0.10133362641712799</v>
      </c>
      <c r="CU117" s="5">
        <v>0.117316313741313</v>
      </c>
      <c r="CV117" s="5">
        <v>-0.16185757037395099</v>
      </c>
      <c r="CW117" s="5">
        <v>0.34097455254807502</v>
      </c>
      <c r="CX117" s="5">
        <v>-2.5843901050272601E-2</v>
      </c>
      <c r="CY117" s="5">
        <v>0.217685664920027</v>
      </c>
      <c r="CZ117" s="5">
        <v>-0.29563799886202602</v>
      </c>
      <c r="DA117" s="5">
        <v>0.54308795806913701</v>
      </c>
      <c r="DB117" s="5">
        <v>3.2525323326221302E-2</v>
      </c>
      <c r="DC117" s="5">
        <v>1.1553172769764799E-2</v>
      </c>
      <c r="DD117" s="5">
        <v>-0.49475600629312699</v>
      </c>
      <c r="DE117" s="5">
        <v>0.678098453281751</v>
      </c>
      <c r="DF117" s="5">
        <v>-0.32749955487478899</v>
      </c>
      <c r="DG117" s="5">
        <v>0.54032809596079401</v>
      </c>
      <c r="DH117" s="5">
        <v>-0.20709872556127901</v>
      </c>
      <c r="DI117" s="5">
        <v>0.387299372856729</v>
      </c>
      <c r="DJ117" s="5">
        <v>-9.0174875202890095E-2</v>
      </c>
      <c r="DK117" s="5">
        <v>9.7909182873157793E-2</v>
      </c>
      <c r="DL117" s="5">
        <v>-0.73044427100805498</v>
      </c>
      <c r="DM117" s="5">
        <v>1</v>
      </c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</row>
    <row r="118" spans="1:389" x14ac:dyDescent="0.45">
      <c r="A118" s="4" t="str">
        <f ca="1">"FIN / beta1dist in "&amp;CELL("address",'damages-1990'!$J$60)</f>
        <v>FIN / beta1dist in '[BHM betas v3pd.xlsx]damages-1990'!$J$60</v>
      </c>
      <c r="B118" s="6">
        <v>0.20373962219031799</v>
      </c>
      <c r="C118" s="5">
        <v>-0.31304381268499498</v>
      </c>
      <c r="D118" s="5">
        <v>-0.10614222676908799</v>
      </c>
      <c r="E118" s="5">
        <v>-0.166069969580417</v>
      </c>
      <c r="F118" s="5">
        <v>0.267577931369537</v>
      </c>
      <c r="G118" s="5">
        <v>-0.294944671397736</v>
      </c>
      <c r="H118" s="5">
        <v>0.52579342556578401</v>
      </c>
      <c r="I118" s="5">
        <v>-0.38655560476943102</v>
      </c>
      <c r="J118" s="5">
        <v>-0.218364018896398</v>
      </c>
      <c r="K118" s="5">
        <v>-6.8663916678091699E-2</v>
      </c>
      <c r="L118" s="5">
        <v>3.3346330772508197E-2</v>
      </c>
      <c r="M118" s="5">
        <v>-9.6623650287030793E-2</v>
      </c>
      <c r="N118" s="5">
        <v>0.13489791752375599</v>
      </c>
      <c r="O118" s="5">
        <v>0.103817878383442</v>
      </c>
      <c r="P118" s="5">
        <v>-9.30989814295555E-2</v>
      </c>
      <c r="Q118" s="5">
        <v>-0.108175287522135</v>
      </c>
      <c r="R118" s="5">
        <v>-0.25894610677354102</v>
      </c>
      <c r="S118" s="5">
        <v>-6.6888593723622098E-3</v>
      </c>
      <c r="T118" s="5">
        <v>0.53173293295471102</v>
      </c>
      <c r="U118" s="5">
        <v>-0.42836915524726499</v>
      </c>
      <c r="V118" s="5">
        <v>0.18252580977473301</v>
      </c>
      <c r="W118" s="5">
        <v>-0.26299839665416203</v>
      </c>
      <c r="X118" s="5">
        <v>-0.13427999857672099</v>
      </c>
      <c r="Y118" s="5">
        <v>-8.8309986158957396E-2</v>
      </c>
      <c r="Z118" s="5">
        <v>0.56863875978987599</v>
      </c>
      <c r="AA118" s="5">
        <v>-0.54990028187964302</v>
      </c>
      <c r="AB118" s="5">
        <v>-3.8641884300178897E-2</v>
      </c>
      <c r="AC118" s="5">
        <v>-0.14695293160282699</v>
      </c>
      <c r="AD118" s="5">
        <v>5.6375916054204403E-2</v>
      </c>
      <c r="AE118" s="5">
        <v>-0.240021705185572</v>
      </c>
      <c r="AF118" s="5">
        <v>-0.20131940566144399</v>
      </c>
      <c r="AG118" s="5">
        <v>-7.4317323284692705E-2</v>
      </c>
      <c r="AH118" s="5">
        <v>0.327400903284911</v>
      </c>
      <c r="AI118" s="5">
        <v>-0.32491687697798799</v>
      </c>
      <c r="AJ118" s="5">
        <v>-0.31713898520556799</v>
      </c>
      <c r="AK118" s="5">
        <v>-2.08503732695655E-2</v>
      </c>
      <c r="AL118" s="5">
        <v>-0.38842962784713098</v>
      </c>
      <c r="AM118" s="5">
        <v>0.25261615959547501</v>
      </c>
      <c r="AN118" s="5">
        <v>0.40614615336271698</v>
      </c>
      <c r="AO118" s="5">
        <v>-0.33674862680760598</v>
      </c>
      <c r="AP118" s="5">
        <v>0.76809111570681898</v>
      </c>
      <c r="AQ118" s="5">
        <v>-0.71878494800634196</v>
      </c>
      <c r="AR118" s="5">
        <v>-0.26629831943475402</v>
      </c>
      <c r="AS118" s="5">
        <v>3.4085794160167701E-2</v>
      </c>
      <c r="AT118" s="5">
        <v>-0.44732025731664599</v>
      </c>
      <c r="AU118" s="5">
        <v>0.31267214165118901</v>
      </c>
      <c r="AV118" s="5">
        <v>-0.363247820223702</v>
      </c>
      <c r="AW118" s="5">
        <v>7.9585974020623798E-2</v>
      </c>
      <c r="AX118" s="5">
        <v>-0.39664032219908202</v>
      </c>
      <c r="AY118" s="5">
        <v>0.10903597537008999</v>
      </c>
      <c r="AZ118" s="5">
        <v>-0.186415152850406</v>
      </c>
      <c r="BA118" s="5">
        <v>-8.8765408263353392E-3</v>
      </c>
      <c r="BB118" s="5">
        <v>-0.108143526712237</v>
      </c>
      <c r="BC118" s="5">
        <v>-0.231398749772731</v>
      </c>
      <c r="BD118" s="5">
        <v>0.40597537068888701</v>
      </c>
      <c r="BE118" s="5">
        <v>-0.50516919987505804</v>
      </c>
      <c r="BF118" s="5">
        <v>-0.13007428544326599</v>
      </c>
      <c r="BG118" s="5">
        <v>-0.136749348852541</v>
      </c>
      <c r="BH118" s="5">
        <v>-0.12933575988370799</v>
      </c>
      <c r="BI118" s="5">
        <v>-0.102573247633314</v>
      </c>
      <c r="BJ118" s="5">
        <v>0.57734402811045205</v>
      </c>
      <c r="BK118" s="5">
        <v>-0.29517680055287898</v>
      </c>
      <c r="BL118" s="5">
        <v>0.48891861720155599</v>
      </c>
      <c r="BM118" s="5">
        <v>-0.34910867333480999</v>
      </c>
      <c r="BN118" s="5">
        <v>0.37263762928192101</v>
      </c>
      <c r="BO118" s="5">
        <v>-0.212581244490645</v>
      </c>
      <c r="BP118" s="5">
        <v>0.59980081295572796</v>
      </c>
      <c r="BQ118" s="5">
        <v>-0.552278524233343</v>
      </c>
      <c r="BR118" s="5">
        <v>4.6910684099912899E-2</v>
      </c>
      <c r="BS118" s="5">
        <v>-0.20183471560727501</v>
      </c>
      <c r="BT118" s="5">
        <v>-0.14988403651754201</v>
      </c>
      <c r="BU118" s="5">
        <v>-0.120295977147618</v>
      </c>
      <c r="BV118" s="5">
        <v>-0.11998819870100801</v>
      </c>
      <c r="BW118" s="5">
        <v>-0.135321292798217</v>
      </c>
      <c r="BX118" s="5">
        <v>-6.7269768732928795E-2</v>
      </c>
      <c r="BY118" s="5">
        <v>-0.156770237497004</v>
      </c>
      <c r="BZ118" s="5">
        <v>-0.22954382720317501</v>
      </c>
      <c r="CA118" s="5">
        <v>-9.0486213805101405E-3</v>
      </c>
      <c r="CB118" s="5">
        <v>-0.26008435533753499</v>
      </c>
      <c r="CC118" s="5">
        <v>5.9141911748559602E-2</v>
      </c>
      <c r="CD118" s="5">
        <v>-0.13971318356922499</v>
      </c>
      <c r="CE118" s="5">
        <v>-5.0827374162280402E-3</v>
      </c>
      <c r="CF118" s="5">
        <v>-0.26571385813967802</v>
      </c>
      <c r="CG118" s="5">
        <v>7.9293356916229393E-2</v>
      </c>
      <c r="CH118" s="5">
        <v>-0.36790887188993898</v>
      </c>
      <c r="CI118" s="5">
        <v>0.240897082319218</v>
      </c>
      <c r="CJ118" s="5">
        <v>-8.6909525329916706E-2</v>
      </c>
      <c r="CK118" s="5">
        <v>-8.8007794836056294E-2</v>
      </c>
      <c r="CL118" s="5">
        <v>0.57098854783660702</v>
      </c>
      <c r="CM118" s="5">
        <v>-0.51337148237659402</v>
      </c>
      <c r="CN118" s="5">
        <v>0.628994969733359</v>
      </c>
      <c r="CO118" s="5">
        <v>-0.60013638773214395</v>
      </c>
      <c r="CP118" s="5">
        <v>-7.86319716462833E-2</v>
      </c>
      <c r="CQ118" s="5">
        <v>-6.3054956534502105E-2</v>
      </c>
      <c r="CR118" s="5">
        <v>-0.12586620139131099</v>
      </c>
      <c r="CS118" s="5">
        <v>-6.1210165393701298E-2</v>
      </c>
      <c r="CT118" s="5">
        <v>0.71519914910885696</v>
      </c>
      <c r="CU118" s="5">
        <v>-0.66653435890311297</v>
      </c>
      <c r="CV118" s="5">
        <v>-3.6675160409196999E-3</v>
      </c>
      <c r="CW118" s="5">
        <v>-0.18377383205827499</v>
      </c>
      <c r="CX118" s="5">
        <v>-9.3140104937930304E-2</v>
      </c>
      <c r="CY118" s="5">
        <v>-0.211884760384459</v>
      </c>
      <c r="CZ118" s="5">
        <v>-0.21043062830760001</v>
      </c>
      <c r="DA118" s="5">
        <v>-1.7467290902968401E-2</v>
      </c>
      <c r="DB118" s="5">
        <v>-0.14420470175828801</v>
      </c>
      <c r="DC118" s="5">
        <v>-0.25705296539272898</v>
      </c>
      <c r="DD118" s="5">
        <v>-4.1228380242882903E-2</v>
      </c>
      <c r="DE118" s="5">
        <v>-0.120859105442888</v>
      </c>
      <c r="DF118" s="5">
        <v>-0.38925721883338199</v>
      </c>
      <c r="DG118" s="5">
        <v>0.19373981568655699</v>
      </c>
      <c r="DH118" s="5">
        <v>0.14276057736547201</v>
      </c>
      <c r="DI118" s="5">
        <v>-0.24412108123861501</v>
      </c>
      <c r="DJ118" s="5">
        <v>0.85487534761842299</v>
      </c>
      <c r="DK118" s="5">
        <v>-0.792440809485634</v>
      </c>
      <c r="DL118" s="5">
        <v>-0.163843587605667</v>
      </c>
      <c r="DM118" s="5">
        <v>-3.3280372426868599E-2</v>
      </c>
      <c r="DN118" s="5">
        <v>1</v>
      </c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</row>
    <row r="119" spans="1:389" x14ac:dyDescent="0.45">
      <c r="A119" s="4" t="str">
        <f ca="1">"FIN / beta2dist in "&amp;CELL("address",'damages-1990'!$K$60)</f>
        <v>FIN / beta2dist in '[BHM betas v3pd.xlsx]damages-1990'!$K$60</v>
      </c>
      <c r="B119" s="6">
        <v>-5.9080178629992201E-2</v>
      </c>
      <c r="C119" s="5">
        <v>0.19988169905852199</v>
      </c>
      <c r="D119" s="5">
        <v>4.17130379599693E-2</v>
      </c>
      <c r="E119" s="5">
        <v>0.17487190423058799</v>
      </c>
      <c r="F119" s="5">
        <v>-7.8094756232840901E-2</v>
      </c>
      <c r="G119" s="5">
        <v>0.160390906010665</v>
      </c>
      <c r="H119" s="5">
        <v>-0.38238199703237202</v>
      </c>
      <c r="I119" s="5">
        <v>0.38059150569796801</v>
      </c>
      <c r="J119" s="5">
        <v>0.13861155957809801</v>
      </c>
      <c r="K119" s="5">
        <v>5.8000443110283802E-2</v>
      </c>
      <c r="L119" s="5">
        <v>5.5249278169757401E-2</v>
      </c>
      <c r="M119" s="5">
        <v>5.3826633196004904E-3</v>
      </c>
      <c r="N119" s="5">
        <v>0.112297815362201</v>
      </c>
      <c r="O119" s="5">
        <v>-0.21071802641321699</v>
      </c>
      <c r="P119" s="5">
        <v>7.8706030464365501E-2</v>
      </c>
      <c r="Q119" s="5">
        <v>0.102799786691348</v>
      </c>
      <c r="R119" s="5">
        <v>0.228988436630468</v>
      </c>
      <c r="S119" s="5">
        <v>-1.0861918739954899E-2</v>
      </c>
      <c r="T119" s="5">
        <v>-0.39516570195394102</v>
      </c>
      <c r="U119" s="5">
        <v>0.42541243269428902</v>
      </c>
      <c r="V119" s="5">
        <v>-2.38126189317843E-2</v>
      </c>
      <c r="W119" s="5">
        <v>0.127798560272322</v>
      </c>
      <c r="X119" s="5">
        <v>8.1675210378496205E-2</v>
      </c>
      <c r="Y119" s="5">
        <v>8.5832312191967894E-2</v>
      </c>
      <c r="Z119" s="5">
        <v>-0.40640869183282602</v>
      </c>
      <c r="AA119" s="5">
        <v>0.51010842271404899</v>
      </c>
      <c r="AB119" s="5">
        <v>-5.6511114468026501E-2</v>
      </c>
      <c r="AC119" s="5">
        <v>0.17538145594090601</v>
      </c>
      <c r="AD119" s="5">
        <v>-0.115548783606731</v>
      </c>
      <c r="AE119" s="5">
        <v>0.23630308128987099</v>
      </c>
      <c r="AF119" s="5">
        <v>0.110834580897078</v>
      </c>
      <c r="AG119" s="5">
        <v>0.112144449354279</v>
      </c>
      <c r="AH119" s="5">
        <v>-0.140399244800124</v>
      </c>
      <c r="AI119" s="5">
        <v>0.21735805674959</v>
      </c>
      <c r="AJ119" s="5">
        <v>0.23000527417782901</v>
      </c>
      <c r="AK119" s="5">
        <v>1.6846914618698101E-2</v>
      </c>
      <c r="AL119" s="5">
        <v>0.390140583141663</v>
      </c>
      <c r="AM119" s="5">
        <v>-0.32452239441903902</v>
      </c>
      <c r="AN119" s="5">
        <v>-0.226908085559964</v>
      </c>
      <c r="AO119" s="5">
        <v>0.27823024296569498</v>
      </c>
      <c r="AP119" s="5">
        <v>-0.65260325440497302</v>
      </c>
      <c r="AQ119" s="5">
        <v>0.75106461467086505</v>
      </c>
      <c r="AR119" s="5">
        <v>0.17194868010814199</v>
      </c>
      <c r="AS119" s="5">
        <v>3.7661273833243798E-3</v>
      </c>
      <c r="AT119" s="5">
        <v>0.481398153832159</v>
      </c>
      <c r="AU119" s="5">
        <v>-0.41999632082999899</v>
      </c>
      <c r="AV119" s="5">
        <v>0.306038200953826</v>
      </c>
      <c r="AW119" s="5">
        <v>-8.6978822969664499E-2</v>
      </c>
      <c r="AX119" s="5">
        <v>0.30531116760010701</v>
      </c>
      <c r="AY119" s="5">
        <v>-0.101652987817015</v>
      </c>
      <c r="AZ119" s="5">
        <v>0.16339532326980399</v>
      </c>
      <c r="BA119" s="5">
        <v>1.26763002536746E-2</v>
      </c>
      <c r="BB119" s="5">
        <v>9.6797171093111305E-3</v>
      </c>
      <c r="BC119" s="5">
        <v>0.26673234547652003</v>
      </c>
      <c r="BD119" s="5">
        <v>-0.18676935831563299</v>
      </c>
      <c r="BE119" s="5">
        <v>0.33062621917948498</v>
      </c>
      <c r="BF119" s="5">
        <v>7.7632188312632397E-2</v>
      </c>
      <c r="BG119" s="5">
        <v>0.14963491429765</v>
      </c>
      <c r="BH119" s="5">
        <v>1.33885839521757E-2</v>
      </c>
      <c r="BI119" s="5">
        <v>0.149406744169438</v>
      </c>
      <c r="BJ119" s="5">
        <v>-0.41611413701202499</v>
      </c>
      <c r="BK119" s="5">
        <v>0.29452016994017799</v>
      </c>
      <c r="BL119" s="5">
        <v>-0.334510644467296</v>
      </c>
      <c r="BM119" s="5">
        <v>0.33254496691251301</v>
      </c>
      <c r="BN119" s="5">
        <v>-0.14036684884489301</v>
      </c>
      <c r="BO119" s="5">
        <v>0.10747274489146701</v>
      </c>
      <c r="BP119" s="5">
        <v>-0.342578384072179</v>
      </c>
      <c r="BQ119" s="5">
        <v>0.41710724290071899</v>
      </c>
      <c r="BR119" s="5">
        <v>-0.102991301435125</v>
      </c>
      <c r="BS119" s="5">
        <v>0.20076815047704699</v>
      </c>
      <c r="BT119" s="5">
        <v>6.6824239673669197E-2</v>
      </c>
      <c r="BU119" s="5">
        <v>0.13695607709516899</v>
      </c>
      <c r="BV119" s="5">
        <v>3.1664870732725801E-2</v>
      </c>
      <c r="BW119" s="5">
        <v>0.14888827907780799</v>
      </c>
      <c r="BX119" s="5">
        <v>-3.6754527493526701E-2</v>
      </c>
      <c r="BY119" s="5">
        <v>0.19875406518854299</v>
      </c>
      <c r="BZ119" s="5">
        <v>0.13156757979487099</v>
      </c>
      <c r="CA119" s="5">
        <v>3.3390780589844703E-2</v>
      </c>
      <c r="CB119" s="5">
        <v>0.211011501114899</v>
      </c>
      <c r="CC119" s="5">
        <v>-6.4006039926088498E-2</v>
      </c>
      <c r="CD119" s="5">
        <v>0.167834867557839</v>
      </c>
      <c r="CE119" s="5">
        <v>-5.7577620390277098E-2</v>
      </c>
      <c r="CF119" s="5">
        <v>0.19794680187673799</v>
      </c>
      <c r="CG119" s="5">
        <v>-5.8546026761758602E-2</v>
      </c>
      <c r="CH119" s="5">
        <v>0.33278319260950501</v>
      </c>
      <c r="CI119" s="5">
        <v>-0.26423795719707599</v>
      </c>
      <c r="CJ119" s="5">
        <v>5.7909520974079497E-2</v>
      </c>
      <c r="CK119" s="5">
        <v>9.4537532215925604E-2</v>
      </c>
      <c r="CL119" s="5">
        <v>-0.42796882359792399</v>
      </c>
      <c r="CM119" s="5">
        <v>0.50866150292114498</v>
      </c>
      <c r="CN119" s="5">
        <v>-0.47540578876934397</v>
      </c>
      <c r="CO119" s="5">
        <v>0.58467542020805896</v>
      </c>
      <c r="CP119" s="5">
        <v>2.4188283948370502E-2</v>
      </c>
      <c r="CQ119" s="5">
        <v>5.98879474212482E-2</v>
      </c>
      <c r="CR119" s="5">
        <v>0.11679181283272901</v>
      </c>
      <c r="CS119" s="5">
        <v>6.6072738620937294E-2</v>
      </c>
      <c r="CT119" s="5">
        <v>-0.61491825423692104</v>
      </c>
      <c r="CU119" s="5">
        <v>0.70109317364076895</v>
      </c>
      <c r="CV119" s="5">
        <v>4.10555696763316E-3</v>
      </c>
      <c r="CW119" s="5">
        <v>0.14815763896964401</v>
      </c>
      <c r="CX119" s="5">
        <v>3.8304957452719203E-2</v>
      </c>
      <c r="CY119" s="5">
        <v>0.20026094852958701</v>
      </c>
      <c r="CZ119" s="5">
        <v>0.123147516703018</v>
      </c>
      <c r="DA119" s="5">
        <v>4.7653503093544901E-2</v>
      </c>
      <c r="DB119" s="5">
        <v>9.0192900637372495E-2</v>
      </c>
      <c r="DC119" s="5">
        <v>0.239326362343009</v>
      </c>
      <c r="DD119" s="5">
        <v>1.4347999701665601E-2</v>
      </c>
      <c r="DE119" s="5">
        <v>8.0811605742529505E-2</v>
      </c>
      <c r="DF119" s="5">
        <v>0.375002821511566</v>
      </c>
      <c r="DG119" s="5">
        <v>-0.23530071841252101</v>
      </c>
      <c r="DH119" s="5">
        <v>1.62634702659501E-3</v>
      </c>
      <c r="DI119" s="5">
        <v>0.13050518613641399</v>
      </c>
      <c r="DJ119" s="5">
        <v>-0.74624201243126198</v>
      </c>
      <c r="DK119" s="5">
        <v>0.83802473465806704</v>
      </c>
      <c r="DL119" s="5">
        <v>0.11751414012094701</v>
      </c>
      <c r="DM119" s="5">
        <v>1.6623332327486199E-2</v>
      </c>
      <c r="DN119" s="5">
        <v>-0.90877942387849098</v>
      </c>
      <c r="DO119" s="5">
        <v>1</v>
      </c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</row>
    <row r="120" spans="1:389" x14ac:dyDescent="0.45">
      <c r="A120" s="4" t="str">
        <f ca="1">"FJI / beta1dist in "&amp;CELL("address",'damages-1990'!$J$61)</f>
        <v>FJI / beta1dist in '[BHM betas v3pd.xlsx]damages-1990'!$J$61</v>
      </c>
      <c r="B120" s="6">
        <v>0.22487678353457899</v>
      </c>
      <c r="C120" s="5">
        <v>0.130293392693</v>
      </c>
      <c r="D120" s="5">
        <v>0.27277767373107997</v>
      </c>
      <c r="E120" s="5">
        <v>0.19844103422343101</v>
      </c>
      <c r="F120" s="5">
        <v>0.18023022831580501</v>
      </c>
      <c r="G120" s="5">
        <v>3.3253842830796597E-2</v>
      </c>
      <c r="H120" s="5">
        <v>-9.8114570144214999E-2</v>
      </c>
      <c r="I120" s="5">
        <v>6.7379552471469303E-2</v>
      </c>
      <c r="J120" s="5">
        <v>0.39757738042809698</v>
      </c>
      <c r="K120" s="5">
        <v>-4.8139266176345702E-2</v>
      </c>
      <c r="L120" s="5">
        <v>0.51621282260107004</v>
      </c>
      <c r="M120" s="5">
        <v>-0.26563920124334001</v>
      </c>
      <c r="N120" s="5">
        <v>-0.15946579725763199</v>
      </c>
      <c r="O120" s="5">
        <v>0.24410742597436699</v>
      </c>
      <c r="P120" s="5">
        <v>-0.26272932039950497</v>
      </c>
      <c r="Q120" s="5">
        <v>0.46083851874454002</v>
      </c>
      <c r="R120" s="5">
        <v>0.27790300700245502</v>
      </c>
      <c r="S120" s="5">
        <v>0.20736690763649601</v>
      </c>
      <c r="T120" s="5">
        <v>-9.71876168447878E-2</v>
      </c>
      <c r="U120" s="5">
        <v>0.13289990137184601</v>
      </c>
      <c r="V120" s="5">
        <v>0.19373333852424299</v>
      </c>
      <c r="W120" s="5">
        <v>0.15727490458444501</v>
      </c>
      <c r="X120" s="5">
        <v>0.110701059488839</v>
      </c>
      <c r="Y120" s="5">
        <v>0.31194164057887602</v>
      </c>
      <c r="Z120" s="5">
        <v>-6.9037167957692299E-3</v>
      </c>
      <c r="AA120" s="5">
        <v>0.10401897337505001</v>
      </c>
      <c r="AB120" s="5">
        <v>0.308936870579131</v>
      </c>
      <c r="AC120" s="5">
        <v>9.4997824584469995E-2</v>
      </c>
      <c r="AD120" s="5">
        <v>0.26551007613899702</v>
      </c>
      <c r="AE120" s="5">
        <v>0.166794442336854</v>
      </c>
      <c r="AF120" s="5">
        <v>0.25704173617015103</v>
      </c>
      <c r="AG120" s="5">
        <v>4.3671357851385699E-2</v>
      </c>
      <c r="AH120" s="5">
        <v>0.112388831140129</v>
      </c>
      <c r="AI120" s="5">
        <v>7.0205711721303604E-2</v>
      </c>
      <c r="AJ120" s="5">
        <v>0.36913344041195001</v>
      </c>
      <c r="AK120" s="5">
        <v>-6.0922696973397E-2</v>
      </c>
      <c r="AL120" s="5">
        <v>0.27926338057850703</v>
      </c>
      <c r="AM120" s="5">
        <v>-0.100951409738663</v>
      </c>
      <c r="AN120" s="5">
        <v>-1.8532562028160102E-2</v>
      </c>
      <c r="AO120" s="5">
        <v>0.15473816006073601</v>
      </c>
      <c r="AP120" s="5">
        <v>1.53723501094996E-2</v>
      </c>
      <c r="AQ120" s="5">
        <v>3.6374702340200897E-2</v>
      </c>
      <c r="AR120" s="5">
        <v>0.38666618283771398</v>
      </c>
      <c r="AS120" s="5">
        <v>-7.4169628492711207E-2</v>
      </c>
      <c r="AT120" s="5">
        <v>0.470472247115929</v>
      </c>
      <c r="AU120" s="5">
        <v>-0.33176010278664703</v>
      </c>
      <c r="AV120" s="5">
        <v>0.38338078554288602</v>
      </c>
      <c r="AW120" s="5">
        <v>8.1182198376508405E-2</v>
      </c>
      <c r="AX120" s="5">
        <v>0.31964439507064002</v>
      </c>
      <c r="AY120" s="5">
        <v>0.13858947472709601</v>
      </c>
      <c r="AZ120" s="5">
        <v>-4.9836342509701301E-2</v>
      </c>
      <c r="BA120" s="5">
        <v>0.20987152956935801</v>
      </c>
      <c r="BB120" s="5">
        <v>0.42219948442828198</v>
      </c>
      <c r="BC120" s="5">
        <v>1.9395514313686801E-2</v>
      </c>
      <c r="BD120" s="5">
        <v>0.13060603689720099</v>
      </c>
      <c r="BE120" s="5">
        <v>0.213372653993047</v>
      </c>
      <c r="BF120" s="5">
        <v>0.34447764545526</v>
      </c>
      <c r="BG120" s="5">
        <v>-3.12604608155095E-3</v>
      </c>
      <c r="BH120" s="5">
        <v>0.30868932949352701</v>
      </c>
      <c r="BI120" s="5">
        <v>0.15177009090544899</v>
      </c>
      <c r="BJ120" s="5">
        <v>-0.11254465127858899</v>
      </c>
      <c r="BK120" s="5">
        <v>-6.2443919877124401E-2</v>
      </c>
      <c r="BL120" s="5">
        <v>-0.14088236845612001</v>
      </c>
      <c r="BM120" s="5">
        <v>0.15278881855666901</v>
      </c>
      <c r="BN120" s="5">
        <v>-0.17860704844250999</v>
      </c>
      <c r="BO120" s="5">
        <v>0.30299240285888202</v>
      </c>
      <c r="BP120" s="5">
        <v>-1.29822101516018E-2</v>
      </c>
      <c r="BQ120" s="5">
        <v>6.4883402043553806E-2</v>
      </c>
      <c r="BR120" s="5">
        <v>0.24668923315586799</v>
      </c>
      <c r="BS120" s="5">
        <v>0.16124192013098801</v>
      </c>
      <c r="BT120" s="5">
        <v>0.36243049407572497</v>
      </c>
      <c r="BU120" s="5">
        <v>0.105118136447319</v>
      </c>
      <c r="BV120" s="5">
        <v>0.29832469205957701</v>
      </c>
      <c r="BW120" s="5">
        <v>0.15812541312075701</v>
      </c>
      <c r="BX120" s="5">
        <v>0.34674481144914998</v>
      </c>
      <c r="BY120" s="5">
        <v>7.2740471925995295E-2</v>
      </c>
      <c r="BZ120" s="5">
        <v>0.33662967098238999</v>
      </c>
      <c r="CA120" s="5">
        <v>0.121012592723917</v>
      </c>
      <c r="CB120" s="5">
        <v>0.14026599031117301</v>
      </c>
      <c r="CC120" s="5">
        <v>0.195814488833645</v>
      </c>
      <c r="CD120" s="5">
        <v>1.41636018395901E-2</v>
      </c>
      <c r="CE120" s="5">
        <v>0.25927733228134497</v>
      </c>
      <c r="CF120" s="5">
        <v>1.03293221035169E-2</v>
      </c>
      <c r="CG120" s="5">
        <v>0.27461505798933</v>
      </c>
      <c r="CH120" s="5">
        <v>0.288412358853188</v>
      </c>
      <c r="CI120" s="5">
        <v>-0.119725384196015</v>
      </c>
      <c r="CJ120" s="5">
        <v>7.1156140492004402E-2</v>
      </c>
      <c r="CK120" s="5">
        <v>0.10603476754168401</v>
      </c>
      <c r="CL120" s="5">
        <v>-1.5842066782693998E-2</v>
      </c>
      <c r="CM120" s="5">
        <v>7.9160473499941403E-2</v>
      </c>
      <c r="CN120" s="5">
        <v>-4.3237575896218402E-3</v>
      </c>
      <c r="CO120" s="5">
        <v>7.7651804136213698E-2</v>
      </c>
      <c r="CP120" s="5">
        <v>0.202799966359232</v>
      </c>
      <c r="CQ120" s="5">
        <v>0.126333744024618</v>
      </c>
      <c r="CR120" s="5">
        <v>-0.243594055085774</v>
      </c>
      <c r="CS120" s="5">
        <v>0.439105271461603</v>
      </c>
      <c r="CT120" s="5">
        <v>-1.53174926230338E-2</v>
      </c>
      <c r="CU120" s="5">
        <v>4.0840476114544402E-2</v>
      </c>
      <c r="CV120" s="5">
        <v>4.3373713389234597E-2</v>
      </c>
      <c r="CW120" s="5">
        <v>0.20885013016366399</v>
      </c>
      <c r="CX120" s="5">
        <v>0.50167680048654195</v>
      </c>
      <c r="CY120" s="5">
        <v>-0.140902416894336</v>
      </c>
      <c r="CZ120" s="5">
        <v>0.21252213087584501</v>
      </c>
      <c r="DA120" s="5">
        <v>0.209755511016705</v>
      </c>
      <c r="DB120" s="5">
        <v>0.29171144873571098</v>
      </c>
      <c r="DC120" s="5">
        <v>1.7897336221889E-2</v>
      </c>
      <c r="DD120" s="5">
        <v>0.17025919458024</v>
      </c>
      <c r="DE120" s="5">
        <v>0.19732197096232301</v>
      </c>
      <c r="DF120" s="5">
        <v>0.20425280545730801</v>
      </c>
      <c r="DG120" s="5">
        <v>0.15759880318599401</v>
      </c>
      <c r="DH120" s="5">
        <v>0.19167869300551699</v>
      </c>
      <c r="DI120" s="5">
        <v>0.120808571087179</v>
      </c>
      <c r="DJ120" s="5">
        <v>-2.4900883575752399E-2</v>
      </c>
      <c r="DK120" s="5">
        <v>3.6319946738947603E-2</v>
      </c>
      <c r="DL120" s="5">
        <v>0.18597610910579301</v>
      </c>
      <c r="DM120" s="5">
        <v>0.24480266527978001</v>
      </c>
      <c r="DN120" s="5">
        <v>-0.115446935641652</v>
      </c>
      <c r="DO120" s="5">
        <v>5.6657785430126097E-2</v>
      </c>
      <c r="DP120" s="5">
        <v>1</v>
      </c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</row>
    <row r="121" spans="1:389" x14ac:dyDescent="0.45">
      <c r="A121" s="4" t="str">
        <f ca="1">"FJI / beta2dist in "&amp;CELL("address",'damages-1990'!$K$61)</f>
        <v>FJI / beta2dist in '[BHM betas v3pd.xlsx]damages-1990'!$K$61</v>
      </c>
      <c r="B121" s="6">
        <v>-7.9137165702223802E-2</v>
      </c>
      <c r="C121" s="5">
        <v>7.2997800910705499E-2</v>
      </c>
      <c r="D121" s="5">
        <v>1.1844681051321301E-2</v>
      </c>
      <c r="E121" s="5">
        <v>-0.15986946403130101</v>
      </c>
      <c r="F121" s="5">
        <v>-3.5047748409128901E-2</v>
      </c>
      <c r="G121" s="5">
        <v>4.7344232978903597E-2</v>
      </c>
      <c r="H121" s="5">
        <v>7.90652222977557E-2</v>
      </c>
      <c r="I121" s="5">
        <v>-8.4312126673949203E-2</v>
      </c>
      <c r="J121" s="5">
        <v>-0.194133039073248</v>
      </c>
      <c r="K121" s="5">
        <v>0.18151749746658999</v>
      </c>
      <c r="L121" s="5">
        <v>-0.35812690017962101</v>
      </c>
      <c r="M121" s="5">
        <v>0.462818688439596</v>
      </c>
      <c r="N121" s="5">
        <v>0.166801449797573</v>
      </c>
      <c r="O121" s="5">
        <v>-0.23018700119096</v>
      </c>
      <c r="P121" s="5">
        <v>0.389772061411716</v>
      </c>
      <c r="Q121" s="5">
        <v>-0.40992850941201903</v>
      </c>
      <c r="R121" s="5">
        <v>0.106866560158292</v>
      </c>
      <c r="S121" s="5">
        <v>-0.30531649905452901</v>
      </c>
      <c r="T121" s="5">
        <v>3.5279586585630601E-2</v>
      </c>
      <c r="U121" s="5">
        <v>-5.7468187270294201E-2</v>
      </c>
      <c r="V121" s="5">
        <v>-1.4235005477217699E-3</v>
      </c>
      <c r="W121" s="5">
        <v>-3.9625676838808903E-2</v>
      </c>
      <c r="X121" s="5">
        <v>0.20722554824745801</v>
      </c>
      <c r="Y121" s="5">
        <v>-0.303044281414663</v>
      </c>
      <c r="Z121" s="5">
        <v>6.4301873535241902E-2</v>
      </c>
      <c r="AA121" s="5">
        <v>-6.1437238245783898E-2</v>
      </c>
      <c r="AB121" s="5">
        <v>-8.2834288849661195E-2</v>
      </c>
      <c r="AC121" s="5">
        <v>-6.1963189935984299E-2</v>
      </c>
      <c r="AD121" s="5">
        <v>-6.7766221643305799E-2</v>
      </c>
      <c r="AE121" s="5">
        <v>-9.4820651972498796E-2</v>
      </c>
      <c r="AF121" s="5">
        <v>-5.9974491375674899E-2</v>
      </c>
      <c r="AG121" s="5">
        <v>4.1690301208602801E-2</v>
      </c>
      <c r="AH121" s="5">
        <v>4.9229056587986699E-4</v>
      </c>
      <c r="AI121" s="5">
        <v>4.4301752862130903E-3</v>
      </c>
      <c r="AJ121" s="5">
        <v>-0.18817399067600199</v>
      </c>
      <c r="AK121" s="5">
        <v>0.20739613552998701</v>
      </c>
      <c r="AL121" s="5">
        <v>-2.2125563862430898E-2</v>
      </c>
      <c r="AM121" s="5">
        <v>1.39667374103038E-2</v>
      </c>
      <c r="AN121" s="5">
        <v>4.4188806890747001E-2</v>
      </c>
      <c r="AO121" s="5">
        <v>-6.1042920416862899E-2</v>
      </c>
      <c r="AP121" s="5">
        <v>-8.9292111981297204E-2</v>
      </c>
      <c r="AQ121" s="5">
        <v>5.51384768664471E-2</v>
      </c>
      <c r="AR121" s="5">
        <v>-0.118780053973615</v>
      </c>
      <c r="AS121" s="5">
        <v>4.0633849342549898E-2</v>
      </c>
      <c r="AT121" s="5">
        <v>-0.29348118049676403</v>
      </c>
      <c r="AU121" s="5">
        <v>0.33738314764655197</v>
      </c>
      <c r="AV121" s="5">
        <v>-5.6099079008690197E-2</v>
      </c>
      <c r="AW121" s="5">
        <v>-0.115673847280787</v>
      </c>
      <c r="AX121" s="5">
        <v>-5.0302466870439397E-4</v>
      </c>
      <c r="AY121" s="5">
        <v>-0.171023399307031</v>
      </c>
      <c r="AZ121" s="5">
        <v>0.11961202565697</v>
      </c>
      <c r="BA121" s="5">
        <v>-0.107163295497467</v>
      </c>
      <c r="BB121" s="5">
        <v>-0.154216251289608</v>
      </c>
      <c r="BC121" s="5">
        <v>4.6117985088171297E-2</v>
      </c>
      <c r="BD121" s="5">
        <v>-4.8906411664351099E-2</v>
      </c>
      <c r="BE121" s="5">
        <v>1.1502755726961999E-2</v>
      </c>
      <c r="BF121" s="5">
        <v>-0.16611355696695901</v>
      </c>
      <c r="BG121" s="5">
        <v>9.1785034430590495E-2</v>
      </c>
      <c r="BH121" s="5">
        <v>-3.97676824090447E-2</v>
      </c>
      <c r="BI121" s="5">
        <v>-0.105291452274846</v>
      </c>
      <c r="BJ121" s="5">
        <v>-0.153859757915874</v>
      </c>
      <c r="BK121" s="5">
        <v>0.22358503944130201</v>
      </c>
      <c r="BL121" s="5">
        <v>8.2817321836583593E-2</v>
      </c>
      <c r="BM121" s="5">
        <v>-0.10996103110088699</v>
      </c>
      <c r="BN121" s="5">
        <v>0.23286279748757799</v>
      </c>
      <c r="BO121" s="5">
        <v>-0.29542420328337399</v>
      </c>
      <c r="BP121" s="5">
        <v>-5.3631149377989899E-2</v>
      </c>
      <c r="BQ121" s="5">
        <v>8.5216887544234607E-2</v>
      </c>
      <c r="BR121" s="5">
        <v>-2.0044492188488E-2</v>
      </c>
      <c r="BS121" s="5">
        <v>-0.10851391814299299</v>
      </c>
      <c r="BT121" s="5">
        <v>-5.0001543566429302E-2</v>
      </c>
      <c r="BU121" s="5">
        <v>-9.4082215294572905E-2</v>
      </c>
      <c r="BV121" s="5">
        <v>-6.1447978853206697E-3</v>
      </c>
      <c r="BW121" s="5">
        <v>-0.13045118118298701</v>
      </c>
      <c r="BX121" s="5">
        <v>-6.4882421135676299E-2</v>
      </c>
      <c r="BY121" s="5">
        <v>-7.3035515453478694E-2</v>
      </c>
      <c r="BZ121" s="5">
        <v>-6.26570657086227E-2</v>
      </c>
      <c r="CA121" s="5">
        <v>-0.124790986196446</v>
      </c>
      <c r="CB121" s="5">
        <v>0.164616429458634</v>
      </c>
      <c r="CC121" s="5">
        <v>-0.312818083925262</v>
      </c>
      <c r="CD121" s="5">
        <v>7.7482955647921195E-2</v>
      </c>
      <c r="CE121" s="5">
        <v>-0.18259423193857699</v>
      </c>
      <c r="CF121" s="5">
        <v>0.20151216667320199</v>
      </c>
      <c r="CG121" s="5">
        <v>-0.31252795521120602</v>
      </c>
      <c r="CH121" s="5">
        <v>-9.4729524502674897E-3</v>
      </c>
      <c r="CI121" s="5">
        <v>4.5280940404733398E-3</v>
      </c>
      <c r="CJ121" s="5">
        <v>0.20848025062305001</v>
      </c>
      <c r="CK121" s="5">
        <v>-0.17497184464623</v>
      </c>
      <c r="CL121" s="5">
        <v>-8.2310068483978007E-3</v>
      </c>
      <c r="CM121" s="5">
        <v>-4.2643532253049997E-3</v>
      </c>
      <c r="CN121" s="5">
        <v>2.1976147213721198E-2</v>
      </c>
      <c r="CO121" s="5">
        <v>-2.2214754417509499E-2</v>
      </c>
      <c r="CP121" s="5">
        <v>-0.14482885603874701</v>
      </c>
      <c r="CQ121" s="5">
        <v>1.8699576100083701E-2</v>
      </c>
      <c r="CR121" s="5">
        <v>0.399052952595224</v>
      </c>
      <c r="CS121" s="5">
        <v>-0.40630055082045002</v>
      </c>
      <c r="CT121" s="5">
        <v>6.1128369727620803E-4</v>
      </c>
      <c r="CU121" s="5">
        <v>5.8957075337372203E-3</v>
      </c>
      <c r="CV121" s="5">
        <v>0.16440939994429199</v>
      </c>
      <c r="CW121" s="5">
        <v>-0.209681286372395</v>
      </c>
      <c r="CX121" s="5">
        <v>-0.27544323498312701</v>
      </c>
      <c r="CY121" s="5">
        <v>0.229457318605302</v>
      </c>
      <c r="CZ121" s="5">
        <v>8.1477564387273896E-2</v>
      </c>
      <c r="DA121" s="5">
        <v>-0.25699901937286701</v>
      </c>
      <c r="DB121" s="5">
        <v>2.4098840169861101E-2</v>
      </c>
      <c r="DC121" s="5">
        <v>-9.52532162849129E-3</v>
      </c>
      <c r="DD121" s="5">
        <v>-7.2146379733386196E-2</v>
      </c>
      <c r="DE121" s="5">
        <v>-3.8660776644652797E-2</v>
      </c>
      <c r="DF121" s="5">
        <v>5.5941784976347901E-3</v>
      </c>
      <c r="DG121" s="5">
        <v>-0.102499232115202</v>
      </c>
      <c r="DH121" s="5">
        <v>-1.5722445399553801E-3</v>
      </c>
      <c r="DI121" s="5">
        <v>-3.5326692988656802E-2</v>
      </c>
      <c r="DJ121" s="5">
        <v>-6.7922818790267306E-2</v>
      </c>
      <c r="DK121" s="5">
        <v>4.3169833225538197E-2</v>
      </c>
      <c r="DL121" s="5">
        <v>1.4914266359781599E-2</v>
      </c>
      <c r="DM121" s="5">
        <v>-0.12701077039013101</v>
      </c>
      <c r="DN121" s="5">
        <v>-2.0010277349254601E-2</v>
      </c>
      <c r="DO121" s="5">
        <v>1.7147074064165001E-2</v>
      </c>
      <c r="DP121" s="5">
        <v>-0.84131874643339999</v>
      </c>
      <c r="DQ121" s="5">
        <v>1</v>
      </c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</row>
    <row r="122" spans="1:389" x14ac:dyDescent="0.45">
      <c r="A122" s="4" t="str">
        <f ca="1">"FRA / beta1dist in "&amp;CELL("address",'damages-1990'!$J$62)</f>
        <v>FRA / beta1dist in '[BHM betas v3pd.xlsx]damages-1990'!$J$62</v>
      </c>
      <c r="B122" s="6">
        <v>0.52582820958690502</v>
      </c>
      <c r="C122" s="5">
        <v>-0.19883500979942301</v>
      </c>
      <c r="D122" s="5">
        <v>0.16889275203297899</v>
      </c>
      <c r="E122" s="5">
        <v>-0.105908719960016</v>
      </c>
      <c r="F122" s="5">
        <v>0.69976443162034796</v>
      </c>
      <c r="G122" s="5">
        <v>-0.45289581615782198</v>
      </c>
      <c r="H122" s="5">
        <v>0.63803827707828398</v>
      </c>
      <c r="I122" s="5">
        <v>-0.45826010145972501</v>
      </c>
      <c r="J122" s="5">
        <v>3.5503173404103902E-2</v>
      </c>
      <c r="K122" s="5">
        <v>-2.6694014872984201E-2</v>
      </c>
      <c r="L122" s="5">
        <v>0.377147790341895</v>
      </c>
      <c r="M122" s="5">
        <v>-0.100156245553207</v>
      </c>
      <c r="N122" s="5">
        <v>0.47390334702847198</v>
      </c>
      <c r="O122" s="5">
        <v>-0.16435767024306799</v>
      </c>
      <c r="P122" s="5">
        <v>0.113648096189275</v>
      </c>
      <c r="Q122" s="5">
        <v>-9.4779128769875598E-2</v>
      </c>
      <c r="R122" s="5">
        <v>0.171738792765114</v>
      </c>
      <c r="S122" s="5">
        <v>-0.12386603549931099</v>
      </c>
      <c r="T122" s="5">
        <v>0.633098544539201</v>
      </c>
      <c r="U122" s="5">
        <v>-0.44482247716872902</v>
      </c>
      <c r="V122" s="5">
        <v>0.52075297704372603</v>
      </c>
      <c r="W122" s="5">
        <v>-0.19749159635220101</v>
      </c>
      <c r="X122" s="5">
        <v>0.222300880590208</v>
      </c>
      <c r="Y122" s="5">
        <v>-0.116991005837897</v>
      </c>
      <c r="Z122" s="5">
        <v>0.85703578141135195</v>
      </c>
      <c r="AA122" s="5">
        <v>-0.65934123339474704</v>
      </c>
      <c r="AB122" s="5">
        <v>0.133649291935131</v>
      </c>
      <c r="AC122" s="5">
        <v>-9.2801652738835894E-2</v>
      </c>
      <c r="AD122" s="5">
        <v>0.13826193640669199</v>
      </c>
      <c r="AE122" s="5">
        <v>-8.1847739496475294E-2</v>
      </c>
      <c r="AF122" s="5">
        <v>-1.7235080901777899E-2</v>
      </c>
      <c r="AG122" s="5">
        <v>2.2583116581004099E-2</v>
      </c>
      <c r="AH122" s="5">
        <v>0.65060232428045195</v>
      </c>
      <c r="AI122" s="5">
        <v>-0.38742379307019198</v>
      </c>
      <c r="AJ122" s="5">
        <v>8.1101452301073605E-4</v>
      </c>
      <c r="AK122" s="5">
        <v>-5.6217083917706502E-3</v>
      </c>
      <c r="AL122" s="5">
        <v>6.5609855719114896E-3</v>
      </c>
      <c r="AM122" s="5">
        <v>1.6320334132989601E-2</v>
      </c>
      <c r="AN122" s="5">
        <v>0.71108667676611004</v>
      </c>
      <c r="AO122" s="5">
        <v>-0.46632230305478101</v>
      </c>
      <c r="AP122" s="5">
        <v>0.527497147458455</v>
      </c>
      <c r="AQ122" s="5">
        <v>-0.31497357182153901</v>
      </c>
      <c r="AR122" s="5">
        <v>2.3160385066888001E-2</v>
      </c>
      <c r="AS122" s="5">
        <v>-9.3685051483852096E-3</v>
      </c>
      <c r="AT122" s="5">
        <v>-4.9446036378695497E-2</v>
      </c>
      <c r="AU122" s="5">
        <v>8.9427917652500397E-2</v>
      </c>
      <c r="AV122" s="5">
        <v>9.3752481257953699E-2</v>
      </c>
      <c r="AW122" s="5">
        <v>-7.5156395759961303E-2</v>
      </c>
      <c r="AX122" s="5">
        <v>3.0118056555044501E-2</v>
      </c>
      <c r="AY122" s="5">
        <v>-7.35123188374813E-2</v>
      </c>
      <c r="AZ122" s="5">
        <v>5.97821583243082E-2</v>
      </c>
      <c r="BA122" s="5">
        <v>-2.94401582028525E-2</v>
      </c>
      <c r="BB122" s="5">
        <v>7.4297541703504305E-2</v>
      </c>
      <c r="BC122" s="5">
        <v>-5.3593563789710502E-2</v>
      </c>
      <c r="BD122" s="5">
        <v>0.61443676461142005</v>
      </c>
      <c r="BE122" s="5">
        <v>-0.259004941556011</v>
      </c>
      <c r="BF122" s="5">
        <v>0.121893406196705</v>
      </c>
      <c r="BG122" s="5">
        <v>-0.100463872368353</v>
      </c>
      <c r="BH122" s="5">
        <v>0.13625732568198001</v>
      </c>
      <c r="BI122" s="5">
        <v>-8.3183898305759604E-2</v>
      </c>
      <c r="BJ122" s="5">
        <v>0.37157172550576201</v>
      </c>
      <c r="BK122" s="5">
        <v>-0.102997507598465</v>
      </c>
      <c r="BL122" s="5">
        <v>0.65242157388506095</v>
      </c>
      <c r="BM122" s="5">
        <v>-0.46882026283642098</v>
      </c>
      <c r="BN122" s="5">
        <v>0.57652608418828999</v>
      </c>
      <c r="BO122" s="5">
        <v>-0.233098240411484</v>
      </c>
      <c r="BP122" s="5">
        <v>0.64152449761143104</v>
      </c>
      <c r="BQ122" s="5">
        <v>-0.35144204826845898</v>
      </c>
      <c r="BR122" s="5">
        <v>0.174332336110471</v>
      </c>
      <c r="BS122" s="5">
        <v>-9.8352489130812196E-2</v>
      </c>
      <c r="BT122" s="5">
        <v>0.14227421752865901</v>
      </c>
      <c r="BU122" s="5">
        <v>-9.1881566497216599E-2</v>
      </c>
      <c r="BV122" s="5">
        <v>0.15297276588683401</v>
      </c>
      <c r="BW122" s="5">
        <v>-0.113745230015426</v>
      </c>
      <c r="BX122" s="5">
        <v>0.145958933185698</v>
      </c>
      <c r="BY122" s="5">
        <v>-0.11436322332610099</v>
      </c>
      <c r="BZ122" s="5">
        <v>7.0736362321106097E-2</v>
      </c>
      <c r="CA122" s="5">
        <v>-8.2123181991273303E-2</v>
      </c>
      <c r="CB122" s="5">
        <v>0.10573233568436199</v>
      </c>
      <c r="CC122" s="5">
        <v>-0.104162354157243</v>
      </c>
      <c r="CD122" s="5">
        <v>0.100608464489455</v>
      </c>
      <c r="CE122" s="5">
        <v>-4.7148616518335698E-2</v>
      </c>
      <c r="CF122" s="5">
        <v>3.0821387079773499E-2</v>
      </c>
      <c r="CG122" s="5">
        <v>-3.0090634955691999E-2</v>
      </c>
      <c r="CH122" s="5">
        <v>3.6031589753098302E-2</v>
      </c>
      <c r="CI122" s="5">
        <v>-1.8509279839553E-2</v>
      </c>
      <c r="CJ122" s="5">
        <v>0.15214219838223</v>
      </c>
      <c r="CK122" s="5">
        <v>-2.8740630613180398E-2</v>
      </c>
      <c r="CL122" s="5">
        <v>0.69592859807234497</v>
      </c>
      <c r="CM122" s="5">
        <v>-0.49726045762425902</v>
      </c>
      <c r="CN122" s="5">
        <v>0.78623194066657598</v>
      </c>
      <c r="CO122" s="5">
        <v>-0.58942339064337002</v>
      </c>
      <c r="CP122" s="5">
        <v>9.6786563509750206E-3</v>
      </c>
      <c r="CQ122" s="5">
        <v>1.34094109702197E-2</v>
      </c>
      <c r="CR122" s="5">
        <v>0.142361428757068</v>
      </c>
      <c r="CS122" s="5">
        <v>-8.2933187033765204E-2</v>
      </c>
      <c r="CT122" s="5">
        <v>0.650233222800082</v>
      </c>
      <c r="CU122" s="5">
        <v>-0.45655896996284501</v>
      </c>
      <c r="CV122" s="5">
        <v>0.16446954643749401</v>
      </c>
      <c r="CW122" s="5">
        <v>-0.124782011138166</v>
      </c>
      <c r="CX122" s="5">
        <v>0.110727616718462</v>
      </c>
      <c r="CY122" s="5">
        <v>-6.2935458647804005E-2</v>
      </c>
      <c r="CZ122" s="5">
        <v>0.13069571308387701</v>
      </c>
      <c r="DA122" s="5">
        <v>-0.120489551742624</v>
      </c>
      <c r="DB122" s="5">
        <v>0.101318373514361</v>
      </c>
      <c r="DC122" s="5">
        <v>-7.4822148878698494E-2</v>
      </c>
      <c r="DD122" s="5">
        <v>6.1086439685358998E-2</v>
      </c>
      <c r="DE122" s="5">
        <v>-1.0174241039193401E-2</v>
      </c>
      <c r="DF122" s="5">
        <v>2.5727966526958201E-2</v>
      </c>
      <c r="DG122" s="5">
        <v>4.3256503900224598E-2</v>
      </c>
      <c r="DH122" s="5">
        <v>0.67120345113980096</v>
      </c>
      <c r="DI122" s="5">
        <v>-0.45504819720551198</v>
      </c>
      <c r="DJ122" s="5">
        <v>0.47473247655344197</v>
      </c>
      <c r="DK122" s="5">
        <v>-0.286864388312701</v>
      </c>
      <c r="DL122" s="5">
        <v>0.14268847083528</v>
      </c>
      <c r="DM122" s="5">
        <v>-3.4115836239059998E-2</v>
      </c>
      <c r="DN122" s="5">
        <v>0.443663811584458</v>
      </c>
      <c r="DO122" s="5">
        <v>-0.26440607269734201</v>
      </c>
      <c r="DP122" s="5">
        <v>6.60823153765112E-2</v>
      </c>
      <c r="DQ122" s="5">
        <v>4.6513607222982499E-2</v>
      </c>
      <c r="DR122" s="5">
        <v>1</v>
      </c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</row>
    <row r="123" spans="1:389" x14ac:dyDescent="0.45">
      <c r="A123" s="4" t="str">
        <f ca="1">"FRA / beta2dist in "&amp;CELL("address",'damages-1990'!$K$62)</f>
        <v>FRA / beta2dist in '[BHM betas v3pd.xlsx]damages-1990'!$K$62</v>
      </c>
      <c r="B123" s="6">
        <v>-0.176028113375264</v>
      </c>
      <c r="C123" s="5">
        <v>0.19279308112946</v>
      </c>
      <c r="D123" s="5">
        <v>2.6273240178393002E-2</v>
      </c>
      <c r="E123" s="5">
        <v>0.14797468803569599</v>
      </c>
      <c r="F123" s="5">
        <v>-0.42452784800939602</v>
      </c>
      <c r="G123" s="5">
        <v>0.500387305573192</v>
      </c>
      <c r="H123" s="5">
        <v>-0.65979545898024705</v>
      </c>
      <c r="I123" s="5">
        <v>0.61436841056757996</v>
      </c>
      <c r="J123" s="5">
        <v>0.16377600832426201</v>
      </c>
      <c r="K123" s="5">
        <v>4.5604618073644701E-2</v>
      </c>
      <c r="L123" s="5">
        <v>-3.6526349894011802E-2</v>
      </c>
      <c r="M123" s="5">
        <v>6.2867640435695996E-2</v>
      </c>
      <c r="N123" s="5">
        <v>-0.28106108906004001</v>
      </c>
      <c r="O123" s="5">
        <v>0.15850488124016801</v>
      </c>
      <c r="P123" s="5">
        <v>-7.1657190301895504E-2</v>
      </c>
      <c r="Q123" s="5">
        <v>0.170261280477642</v>
      </c>
      <c r="R123" s="5">
        <v>7.6489034403204995E-2</v>
      </c>
      <c r="S123" s="5">
        <v>0.12763201446080899</v>
      </c>
      <c r="T123" s="5">
        <v>-0.61944144793106704</v>
      </c>
      <c r="U123" s="5">
        <v>0.59432465594164496</v>
      </c>
      <c r="V123" s="5">
        <v>-0.15622932600678799</v>
      </c>
      <c r="W123" s="5">
        <v>0.15872714277223299</v>
      </c>
      <c r="X123" s="5">
        <v>-1.5784063255421799E-2</v>
      </c>
      <c r="Y123" s="5">
        <v>0.156152828274883</v>
      </c>
      <c r="Z123" s="5">
        <v>-0.76518907608148301</v>
      </c>
      <c r="AA123" s="5">
        <v>0.82956385397122301</v>
      </c>
      <c r="AB123" s="5">
        <v>-5.6818092485857501E-2</v>
      </c>
      <c r="AC123" s="5">
        <v>0.160537935442573</v>
      </c>
      <c r="AD123" s="5">
        <v>-6.0589553965168401E-2</v>
      </c>
      <c r="AE123" s="5">
        <v>0.162323718115187</v>
      </c>
      <c r="AF123" s="5">
        <v>0.22218143427305501</v>
      </c>
      <c r="AG123" s="5">
        <v>-4.8931658757192097E-2</v>
      </c>
      <c r="AH123" s="5">
        <v>-0.409152481105509</v>
      </c>
      <c r="AI123" s="5">
        <v>0.44946372301405202</v>
      </c>
      <c r="AJ123" s="5">
        <v>0.19047062515242599</v>
      </c>
      <c r="AK123" s="5">
        <v>2.6050522412102199E-2</v>
      </c>
      <c r="AL123" s="5">
        <v>0.165558417235839</v>
      </c>
      <c r="AM123" s="5">
        <v>-7.2871578245144203E-2</v>
      </c>
      <c r="AN123" s="5">
        <v>-0.550549075111747</v>
      </c>
      <c r="AO123" s="5">
        <v>0.57036242075208099</v>
      </c>
      <c r="AP123" s="5">
        <v>-0.49337225532025197</v>
      </c>
      <c r="AQ123" s="5">
        <v>0.43400070330743301</v>
      </c>
      <c r="AR123" s="5">
        <v>0.15778418585559201</v>
      </c>
      <c r="AS123" s="5">
        <v>-6.7494010979288503E-4</v>
      </c>
      <c r="AT123" s="5">
        <v>0.24702062099817301</v>
      </c>
      <c r="AU123" s="5">
        <v>-0.17246716262925901</v>
      </c>
      <c r="AV123" s="5">
        <v>0.162116011742406</v>
      </c>
      <c r="AW123" s="5">
        <v>6.7641603453820406E-2</v>
      </c>
      <c r="AX123" s="5">
        <v>0.18231188523988701</v>
      </c>
      <c r="AY123" s="5">
        <v>8.5009707136011997E-2</v>
      </c>
      <c r="AZ123" s="5">
        <v>6.8271503288317896E-3</v>
      </c>
      <c r="BA123" s="5">
        <v>7.2236554646023604E-2</v>
      </c>
      <c r="BB123" s="5">
        <v>0.100342722947918</v>
      </c>
      <c r="BC123" s="5">
        <v>9.40615262346359E-2</v>
      </c>
      <c r="BD123" s="5">
        <v>-0.306133959930321</v>
      </c>
      <c r="BE123" s="5">
        <v>0.294683411649241</v>
      </c>
      <c r="BF123" s="5">
        <v>2.4903230971058E-2</v>
      </c>
      <c r="BG123" s="5">
        <v>0.15317218101926999</v>
      </c>
      <c r="BH123" s="5">
        <v>3.2463170915846398E-2</v>
      </c>
      <c r="BI123" s="5">
        <v>0.118893299142755</v>
      </c>
      <c r="BJ123" s="5">
        <v>-0.389183940832034</v>
      </c>
      <c r="BK123" s="5">
        <v>0.14152685599189799</v>
      </c>
      <c r="BL123" s="5">
        <v>-0.66072510799709205</v>
      </c>
      <c r="BM123" s="5">
        <v>0.62550523492056298</v>
      </c>
      <c r="BN123" s="5">
        <v>-0.36504000932734598</v>
      </c>
      <c r="BO123" s="5">
        <v>0.263410763232027</v>
      </c>
      <c r="BP123" s="5">
        <v>-0.45866019096706201</v>
      </c>
      <c r="BQ123" s="5">
        <v>0.394935357872709</v>
      </c>
      <c r="BR123" s="5">
        <v>-0.106271205772905</v>
      </c>
      <c r="BS123" s="5">
        <v>0.18343959691981099</v>
      </c>
      <c r="BT123" s="5">
        <v>4.07034781181305E-2</v>
      </c>
      <c r="BU123" s="5">
        <v>0.13226676706451501</v>
      </c>
      <c r="BV123" s="5">
        <v>1.35725922416766E-2</v>
      </c>
      <c r="BW123" s="5">
        <v>0.160902299753515</v>
      </c>
      <c r="BX123" s="5">
        <v>-1.0292352181588801E-2</v>
      </c>
      <c r="BY123" s="5">
        <v>0.16262108770244099</v>
      </c>
      <c r="BZ123" s="5">
        <v>8.8112135809573E-2</v>
      </c>
      <c r="CA123" s="5">
        <v>0.116177380852978</v>
      </c>
      <c r="CB123" s="5">
        <v>4.2645308760578997E-3</v>
      </c>
      <c r="CC123" s="5">
        <v>0.14618617082184199</v>
      </c>
      <c r="CD123" s="5">
        <v>2.5332134446566401E-2</v>
      </c>
      <c r="CE123" s="5">
        <v>5.9725316471748099E-2</v>
      </c>
      <c r="CF123" s="5">
        <v>0.100379642532824</v>
      </c>
      <c r="CG123" s="5">
        <v>3.23890381271984E-2</v>
      </c>
      <c r="CH123" s="5">
        <v>0.11229527346099</v>
      </c>
      <c r="CI123" s="5">
        <v>-2.32518977533193E-2</v>
      </c>
      <c r="CJ123" s="5">
        <v>9.5092149840197704E-2</v>
      </c>
      <c r="CK123" s="5">
        <v>-3.6865742943834601E-3</v>
      </c>
      <c r="CL123" s="5">
        <v>-0.63753127412710098</v>
      </c>
      <c r="CM123" s="5">
        <v>0.64328680620600698</v>
      </c>
      <c r="CN123" s="5">
        <v>-0.70695393149076802</v>
      </c>
      <c r="CO123" s="5">
        <v>0.74612652661780798</v>
      </c>
      <c r="CP123" s="5">
        <v>9.1402187766031096E-2</v>
      </c>
      <c r="CQ123" s="5">
        <v>6.2428780935603898E-3</v>
      </c>
      <c r="CR123" s="5">
        <v>-6.7782873926379494E-2</v>
      </c>
      <c r="CS123" s="5">
        <v>0.147403614528829</v>
      </c>
      <c r="CT123" s="5">
        <v>-0.62649360053645997</v>
      </c>
      <c r="CU123" s="5">
        <v>0.59249238095454004</v>
      </c>
      <c r="CV123" s="5">
        <v>-0.12735978325247599</v>
      </c>
      <c r="CW123" s="5">
        <v>0.22703992717912</v>
      </c>
      <c r="CX123" s="5">
        <v>9.0149676347861807E-2</v>
      </c>
      <c r="CY123" s="5">
        <v>9.6378233446567499E-2</v>
      </c>
      <c r="CZ123" s="5">
        <v>2.53576083389506E-2</v>
      </c>
      <c r="DA123" s="5">
        <v>0.16706534104606999</v>
      </c>
      <c r="DB123" s="5">
        <v>0.148749269896673</v>
      </c>
      <c r="DC123" s="5">
        <v>8.3865477641678898E-2</v>
      </c>
      <c r="DD123" s="5">
        <v>4.5021616828488001E-2</v>
      </c>
      <c r="DE123" s="5">
        <v>6.4604308203402197E-2</v>
      </c>
      <c r="DF123" s="5">
        <v>0.21424052802611501</v>
      </c>
      <c r="DG123" s="5">
        <v>-9.6144533205779398E-2</v>
      </c>
      <c r="DH123" s="5">
        <v>-0.369643616014316</v>
      </c>
      <c r="DI123" s="5">
        <v>0.48770339866150703</v>
      </c>
      <c r="DJ123" s="5">
        <v>-0.46415027442046403</v>
      </c>
      <c r="DK123" s="5">
        <v>0.40289767686231298</v>
      </c>
      <c r="DL123" s="5">
        <v>4.7689063379479098E-2</v>
      </c>
      <c r="DM123" s="5">
        <v>6.1279555966843598E-2</v>
      </c>
      <c r="DN123" s="5">
        <v>-0.47238389767803901</v>
      </c>
      <c r="DO123" s="5">
        <v>0.38683947405862201</v>
      </c>
      <c r="DP123" s="5">
        <v>0.115433132269296</v>
      </c>
      <c r="DQ123" s="5">
        <v>-5.4299723619443199E-2</v>
      </c>
      <c r="DR123" s="5">
        <v>-0.83754204716566105</v>
      </c>
      <c r="DS123" s="5">
        <v>1</v>
      </c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</row>
    <row r="124" spans="1:389" x14ac:dyDescent="0.45">
      <c r="A124" s="4" t="str">
        <f ca="1">"FSM / beta1dist in "&amp;CELL("address",'damages-1990'!$J$63)</f>
        <v>FSM / beta1dist in '[BHM betas v3pd.xlsx]damages-1990'!$J$63</v>
      </c>
      <c r="B124" s="6">
        <v>0.12906259250141799</v>
      </c>
      <c r="C124" s="5">
        <v>5.2964562537998999E-2</v>
      </c>
      <c r="D124" s="5">
        <v>0.326791839494803</v>
      </c>
      <c r="E124" s="5">
        <v>-0.240859717159847</v>
      </c>
      <c r="F124" s="5">
        <v>9.0340904415320999E-2</v>
      </c>
      <c r="G124" s="5">
        <v>1.90538398692684E-2</v>
      </c>
      <c r="H124" s="5">
        <v>-0.24009253680942999</v>
      </c>
      <c r="I124" s="5">
        <v>0.243968227458502</v>
      </c>
      <c r="J124" s="5">
        <v>0.35988550599186098</v>
      </c>
      <c r="K124" s="5">
        <v>-0.25340893458326103</v>
      </c>
      <c r="L124" s="5">
        <v>0.392664415371138</v>
      </c>
      <c r="M124" s="5">
        <v>-0.325260893573735</v>
      </c>
      <c r="N124" s="5">
        <v>6.1220975200335197E-3</v>
      </c>
      <c r="O124" s="5">
        <v>-6.6376465799864197E-3</v>
      </c>
      <c r="P124" s="5">
        <v>1.4918195610066701E-2</v>
      </c>
      <c r="Q124" s="5">
        <v>2.34197269577829E-2</v>
      </c>
      <c r="R124" s="5">
        <v>0.31425521763637598</v>
      </c>
      <c r="S124" s="5">
        <v>-0.16407237563922</v>
      </c>
      <c r="T124" s="5">
        <v>-0.16613066687879599</v>
      </c>
      <c r="U124" s="5">
        <v>0.17273237564865099</v>
      </c>
      <c r="V124" s="5">
        <v>0.102317855732274</v>
      </c>
      <c r="W124" s="5">
        <v>9.9263158498320805E-2</v>
      </c>
      <c r="X124" s="5">
        <v>0.249344867385144</v>
      </c>
      <c r="Y124" s="5">
        <v>-0.15125401682426701</v>
      </c>
      <c r="Z124" s="5">
        <v>-0.17108053515253499</v>
      </c>
      <c r="AA124" s="5">
        <v>0.23465484333421199</v>
      </c>
      <c r="AB124" s="5">
        <v>0.16078584594005399</v>
      </c>
      <c r="AC124" s="5">
        <v>-0.124502025143225</v>
      </c>
      <c r="AD124" s="5">
        <v>0.118803192237823</v>
      </c>
      <c r="AE124" s="5">
        <v>-5.9992941910671102E-2</v>
      </c>
      <c r="AF124" s="5">
        <v>0.43094782040408502</v>
      </c>
      <c r="AG124" s="5">
        <v>-0.36628504084374502</v>
      </c>
      <c r="AH124" s="5">
        <v>1.15716037523693E-2</v>
      </c>
      <c r="AI124" s="5">
        <v>7.98108262820732E-2</v>
      </c>
      <c r="AJ124" s="5">
        <v>0.45552518943543902</v>
      </c>
      <c r="AK124" s="5">
        <v>-0.30489518142136501</v>
      </c>
      <c r="AL124" s="5">
        <v>0.19726916847862999</v>
      </c>
      <c r="AM124" s="5">
        <v>-0.11868194470834199</v>
      </c>
      <c r="AN124" s="5">
        <v>-4.37268751538884E-2</v>
      </c>
      <c r="AO124" s="5">
        <v>8.5874056623990905E-2</v>
      </c>
      <c r="AP124" s="5">
        <v>-9.7330635452873102E-3</v>
      </c>
      <c r="AQ124" s="5">
        <v>-1.1450867868853199E-2</v>
      </c>
      <c r="AR124" s="5">
        <v>0.436658210826735</v>
      </c>
      <c r="AS124" s="5">
        <v>-0.374741213736768</v>
      </c>
      <c r="AT124" s="5">
        <v>0.19032539761088799</v>
      </c>
      <c r="AU124" s="5">
        <v>-5.5243232854027803E-2</v>
      </c>
      <c r="AV124" s="5">
        <v>0.39225368068729</v>
      </c>
      <c r="AW124" s="5">
        <v>-0.27218954474589002</v>
      </c>
      <c r="AX124" s="5">
        <v>0.43379821479930503</v>
      </c>
      <c r="AY124" s="5">
        <v>-0.362450887461152</v>
      </c>
      <c r="AZ124" s="5">
        <v>0.27501269003162199</v>
      </c>
      <c r="BA124" s="5">
        <v>-0.255109208470291</v>
      </c>
      <c r="BB124" s="5">
        <v>0.36256916024243202</v>
      </c>
      <c r="BC124" s="5">
        <v>-0.27989671609017602</v>
      </c>
      <c r="BD124" s="5">
        <v>-1.65718794409149E-2</v>
      </c>
      <c r="BE124" s="5">
        <v>0.23056606545021399</v>
      </c>
      <c r="BF124" s="5">
        <v>0.246962793316896</v>
      </c>
      <c r="BG124" s="5">
        <v>-0.11393138396859</v>
      </c>
      <c r="BH124" s="5">
        <v>0.32526276808858001</v>
      </c>
      <c r="BI124" s="5">
        <v>-0.30039657042505702</v>
      </c>
      <c r="BJ124" s="5">
        <v>-0.20402292686809601</v>
      </c>
      <c r="BK124" s="5">
        <v>0.15190600165724299</v>
      </c>
      <c r="BL124" s="5">
        <v>-0.12370585625651399</v>
      </c>
      <c r="BM124" s="5">
        <v>0.108197915422807</v>
      </c>
      <c r="BN124" s="5">
        <v>-0.21429158505441201</v>
      </c>
      <c r="BO124" s="5">
        <v>0.35245200983657199</v>
      </c>
      <c r="BP124" s="5">
        <v>-0.229364368774962</v>
      </c>
      <c r="BQ124" s="5">
        <v>0.40443705549091102</v>
      </c>
      <c r="BR124" s="5">
        <v>0.223677247876365</v>
      </c>
      <c r="BS124" s="5">
        <v>-0.21058328416122599</v>
      </c>
      <c r="BT124" s="5">
        <v>0.324028661278563</v>
      </c>
      <c r="BU124" s="5">
        <v>-0.28191925447600302</v>
      </c>
      <c r="BV124" s="5">
        <v>0.34573151591217199</v>
      </c>
      <c r="BW124" s="5">
        <v>-0.30828279707266698</v>
      </c>
      <c r="BX124" s="5">
        <v>0.32375501584870398</v>
      </c>
      <c r="BY124" s="5">
        <v>-0.33061972570234199</v>
      </c>
      <c r="BZ124" s="5">
        <v>0.500024866878643</v>
      </c>
      <c r="CA124" s="5">
        <v>-0.42944820770068898</v>
      </c>
      <c r="CB124" s="5">
        <v>0.34374733637969501</v>
      </c>
      <c r="CC124" s="5">
        <v>-0.29800760126077003</v>
      </c>
      <c r="CD124" s="5">
        <v>0.100658787505533</v>
      </c>
      <c r="CE124" s="5">
        <v>6.7508109464831406E-2</v>
      </c>
      <c r="CF124" s="5">
        <v>0.26569609183349502</v>
      </c>
      <c r="CG124" s="5">
        <v>-0.19637801599596499</v>
      </c>
      <c r="CH124" s="5">
        <v>0.18972900204520199</v>
      </c>
      <c r="CI124" s="5">
        <v>-0.14083726948285799</v>
      </c>
      <c r="CJ124" s="5">
        <v>0.18413463328721599</v>
      </c>
      <c r="CK124" s="5">
        <v>-4.1472689357658299E-2</v>
      </c>
      <c r="CL124" s="5">
        <v>-0.14831070690768899</v>
      </c>
      <c r="CM124" s="5">
        <v>0.17646532598032899</v>
      </c>
      <c r="CN124" s="5">
        <v>-0.15810127814587899</v>
      </c>
      <c r="CO124" s="5">
        <v>0.20067032187332101</v>
      </c>
      <c r="CP124" s="5">
        <v>0.51679923945314499</v>
      </c>
      <c r="CQ124" s="5">
        <v>-0.44731905701861902</v>
      </c>
      <c r="CR124" s="5">
        <v>0.134069686425314</v>
      </c>
      <c r="CS124" s="5">
        <v>-0.110040686964734</v>
      </c>
      <c r="CT124" s="5">
        <v>-0.145886433751339</v>
      </c>
      <c r="CU124" s="5">
        <v>0.12939211843741899</v>
      </c>
      <c r="CV124" s="5">
        <v>6.1406703749316803E-2</v>
      </c>
      <c r="CW124" s="5">
        <v>-3.8212243234615202E-2</v>
      </c>
      <c r="CX124" s="5">
        <v>0.37524028456976</v>
      </c>
      <c r="CY124" s="5">
        <v>-0.224927390304309</v>
      </c>
      <c r="CZ124" s="5">
        <v>0.39132743363933797</v>
      </c>
      <c r="DA124" s="5">
        <v>-0.26258800668591997</v>
      </c>
      <c r="DB124" s="5">
        <v>0.176451470795465</v>
      </c>
      <c r="DC124" s="5">
        <v>5.5462712091641199E-2</v>
      </c>
      <c r="DD124" s="5">
        <v>0.36348624884553798</v>
      </c>
      <c r="DE124" s="5">
        <v>-0.30621835478194598</v>
      </c>
      <c r="DF124" s="5">
        <v>0.32895610815089299</v>
      </c>
      <c r="DG124" s="5">
        <v>-0.191151127771367</v>
      </c>
      <c r="DH124" s="5">
        <v>0.20556903449480701</v>
      </c>
      <c r="DI124" s="5">
        <v>-8.0170681366177499E-2</v>
      </c>
      <c r="DJ124" s="5">
        <v>-9.3365480456606004E-2</v>
      </c>
      <c r="DK124" s="5">
        <v>6.9727291184963999E-2</v>
      </c>
      <c r="DL124" s="5">
        <v>0.41888327345772097</v>
      </c>
      <c r="DM124" s="5">
        <v>-0.36770873063128101</v>
      </c>
      <c r="DN124" s="5">
        <v>-0.239306922450159</v>
      </c>
      <c r="DO124" s="5">
        <v>0.19049234419185199</v>
      </c>
      <c r="DP124" s="5">
        <v>0.33824874660307302</v>
      </c>
      <c r="DQ124" s="5">
        <v>-0.28171763646853798</v>
      </c>
      <c r="DR124" s="5">
        <v>-4.5486044269202303E-2</v>
      </c>
      <c r="DS124" s="5">
        <v>0.15396166524426799</v>
      </c>
      <c r="DT124" s="5">
        <v>1</v>
      </c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</row>
    <row r="125" spans="1:389" x14ac:dyDescent="0.45">
      <c r="A125" s="4" t="str">
        <f ca="1">"FSM / beta2dist in "&amp;CELL("address",'damages-1990'!$K$63)</f>
        <v>FSM / beta2dist in '[BHM betas v3pd.xlsx]damages-1990'!$K$63</v>
      </c>
      <c r="B125" s="6">
        <v>-5.3437662712008303E-2</v>
      </c>
      <c r="C125" s="5">
        <v>8.4407925006789605E-2</v>
      </c>
      <c r="D125" s="5">
        <v>-0.12979043615677299</v>
      </c>
      <c r="E125" s="5">
        <v>0.28760723552231099</v>
      </c>
      <c r="F125" s="5">
        <v>-3.2696044006663497E-2</v>
      </c>
      <c r="G125" s="5">
        <v>5.0384362400883898E-2</v>
      </c>
      <c r="H125" s="5">
        <v>0.190772696562613</v>
      </c>
      <c r="I125" s="5">
        <v>-0.24479269588788699</v>
      </c>
      <c r="J125" s="5">
        <v>-0.21620171863256299</v>
      </c>
      <c r="K125" s="5">
        <v>0.34599836665633499</v>
      </c>
      <c r="L125" s="5">
        <v>-0.27554920298972702</v>
      </c>
      <c r="M125" s="5">
        <v>0.42374121882358501</v>
      </c>
      <c r="N125" s="5">
        <v>-3.7086737343304997E-2</v>
      </c>
      <c r="O125" s="5">
        <v>2.82452587413476E-2</v>
      </c>
      <c r="P125" s="5">
        <v>1.56069716914226E-2</v>
      </c>
      <c r="Q125" s="5">
        <v>8.3089744406497898E-2</v>
      </c>
      <c r="R125" s="5">
        <v>-9.6163453338013405E-2</v>
      </c>
      <c r="S125" s="5">
        <v>0.17416800718023101</v>
      </c>
      <c r="T125" s="5">
        <v>0.108822846522367</v>
      </c>
      <c r="U125" s="5">
        <v>-0.125313252300668</v>
      </c>
      <c r="V125" s="5">
        <v>-1.3207146654387199E-3</v>
      </c>
      <c r="W125" s="5">
        <v>-1.8210119904322201E-2</v>
      </c>
      <c r="X125" s="5">
        <v>-7.2174720559962602E-2</v>
      </c>
      <c r="Y125" s="5">
        <v>0.207868531731703</v>
      </c>
      <c r="Z125" s="5">
        <v>0.16938445614152101</v>
      </c>
      <c r="AA125" s="5">
        <v>-0.19823080769881299</v>
      </c>
      <c r="AB125" s="5">
        <v>-2.00461136046336E-3</v>
      </c>
      <c r="AC125" s="5">
        <v>0.17558150506287001</v>
      </c>
      <c r="AD125" s="5">
        <v>1.0770600459393299E-2</v>
      </c>
      <c r="AE125" s="5">
        <v>0.141754819371612</v>
      </c>
      <c r="AF125" s="5">
        <v>-0.30405882885109897</v>
      </c>
      <c r="AG125" s="5">
        <v>0.44130321141193501</v>
      </c>
      <c r="AH125" s="5">
        <v>3.49917891208592E-2</v>
      </c>
      <c r="AI125" s="5">
        <v>-2.7765044651885701E-2</v>
      </c>
      <c r="AJ125" s="5">
        <v>-0.32548260680910901</v>
      </c>
      <c r="AK125" s="5">
        <v>0.39697052390037901</v>
      </c>
      <c r="AL125" s="5">
        <v>-3.9932611759465704E-3</v>
      </c>
      <c r="AM125" s="5">
        <v>4.2093283061371799E-2</v>
      </c>
      <c r="AN125" s="5">
        <v>2.6892773707152699E-2</v>
      </c>
      <c r="AO125" s="5">
        <v>-1.7160628882494498E-2</v>
      </c>
      <c r="AP125" s="5">
        <v>-5.3953818270297903E-2</v>
      </c>
      <c r="AQ125" s="5">
        <v>7.3782012591500995E-2</v>
      </c>
      <c r="AR125" s="5">
        <v>-0.218357444868224</v>
      </c>
      <c r="AS125" s="5">
        <v>0.32822724803432501</v>
      </c>
      <c r="AT125" s="5">
        <v>-5.7680954576161E-2</v>
      </c>
      <c r="AU125" s="5">
        <v>3.64120825650847E-2</v>
      </c>
      <c r="AV125" s="5">
        <v>-0.17074587361261501</v>
      </c>
      <c r="AW125" s="5">
        <v>0.28213500089501298</v>
      </c>
      <c r="AX125" s="5">
        <v>-0.21371901635837201</v>
      </c>
      <c r="AY125" s="5">
        <v>0.37108988524590902</v>
      </c>
      <c r="AZ125" s="5">
        <v>-0.224823492453912</v>
      </c>
      <c r="BA125" s="5">
        <v>0.34160012827702801</v>
      </c>
      <c r="BB125" s="5">
        <v>-0.173646367358122</v>
      </c>
      <c r="BC125" s="5">
        <v>0.33697614151488098</v>
      </c>
      <c r="BD125" s="5">
        <v>4.3985846198368803E-2</v>
      </c>
      <c r="BE125" s="5">
        <v>-7.6557952596543202E-2</v>
      </c>
      <c r="BF125" s="5">
        <v>-9.3420743731251504E-2</v>
      </c>
      <c r="BG125" s="5">
        <v>0.15381379256167699</v>
      </c>
      <c r="BH125" s="5">
        <v>-0.16011569677357501</v>
      </c>
      <c r="BI125" s="5">
        <v>0.38219182967354898</v>
      </c>
      <c r="BJ125" s="5">
        <v>3.1435714266488501E-2</v>
      </c>
      <c r="BK125" s="5">
        <v>-8.8738885290456399E-2</v>
      </c>
      <c r="BL125" s="5">
        <v>6.4843451102142693E-2</v>
      </c>
      <c r="BM125" s="5">
        <v>-8.0727195469557506E-2</v>
      </c>
      <c r="BN125" s="5">
        <v>0.18321294307693101</v>
      </c>
      <c r="BO125" s="5">
        <v>-0.31201386898802802</v>
      </c>
      <c r="BP125" s="5">
        <v>0.174251291123003</v>
      </c>
      <c r="BQ125" s="5">
        <v>-0.343807417247179</v>
      </c>
      <c r="BR125" s="5">
        <v>-0.105232657321583</v>
      </c>
      <c r="BS125" s="5">
        <v>0.301092820957789</v>
      </c>
      <c r="BT125" s="5">
        <v>-0.12871244890525901</v>
      </c>
      <c r="BU125" s="5">
        <v>0.33831151599356102</v>
      </c>
      <c r="BV125" s="5">
        <v>-0.15481873323668299</v>
      </c>
      <c r="BW125" s="5">
        <v>0.363587454264656</v>
      </c>
      <c r="BX125" s="5">
        <v>-0.14362391620175399</v>
      </c>
      <c r="BY125" s="5">
        <v>0.37369201160643201</v>
      </c>
      <c r="BZ125" s="5">
        <v>-0.31943616390196899</v>
      </c>
      <c r="CA125" s="5">
        <v>0.46654053999072498</v>
      </c>
      <c r="CB125" s="5">
        <v>-0.17045705672969799</v>
      </c>
      <c r="CC125" s="5">
        <v>0.28297958771630599</v>
      </c>
      <c r="CD125" s="5">
        <v>-9.8289775902511093E-3</v>
      </c>
      <c r="CE125" s="5">
        <v>-2.0656941785745099E-2</v>
      </c>
      <c r="CF125" s="5">
        <v>-0.132882806482089</v>
      </c>
      <c r="CG125" s="5">
        <v>0.21083045721792401</v>
      </c>
      <c r="CH125" s="5">
        <v>1.9956991547765299E-2</v>
      </c>
      <c r="CI125" s="5">
        <v>3.7489696760032699E-2</v>
      </c>
      <c r="CJ125" s="5">
        <v>-6.77106021799357E-2</v>
      </c>
      <c r="CK125" s="5">
        <v>4.7332746826939297E-2</v>
      </c>
      <c r="CL125" s="5">
        <v>0.11678026244350199</v>
      </c>
      <c r="CM125" s="5">
        <v>-0.13481214912938499</v>
      </c>
      <c r="CN125" s="5">
        <v>0.13918007795168</v>
      </c>
      <c r="CO125" s="5">
        <v>-0.163684233813714</v>
      </c>
      <c r="CP125" s="5">
        <v>-0.49205576143143498</v>
      </c>
      <c r="CQ125" s="5">
        <v>0.58447872141438595</v>
      </c>
      <c r="CR125" s="5">
        <v>-8.8228737105989705E-2</v>
      </c>
      <c r="CS125" s="5">
        <v>0.20663901579463201</v>
      </c>
      <c r="CT125" s="5">
        <v>0.106297997194561</v>
      </c>
      <c r="CU125" s="5">
        <v>-9.0191664006150293E-2</v>
      </c>
      <c r="CV125" s="5">
        <v>7.2786848089378298E-2</v>
      </c>
      <c r="CW125" s="5">
        <v>5.9989592170557597E-2</v>
      </c>
      <c r="CX125" s="5">
        <v>-0.19740216693484999</v>
      </c>
      <c r="CY125" s="5">
        <v>0.26988916896882498</v>
      </c>
      <c r="CZ125" s="5">
        <v>-0.20973516377091</v>
      </c>
      <c r="DA125" s="5">
        <v>0.27489222934218199</v>
      </c>
      <c r="DB125" s="5">
        <v>-1.2992969477031499E-2</v>
      </c>
      <c r="DC125" s="5">
        <v>2.1019465049334999E-3</v>
      </c>
      <c r="DD125" s="5">
        <v>-0.311235890787942</v>
      </c>
      <c r="DE125" s="5">
        <v>0.44900694916522499</v>
      </c>
      <c r="DF125" s="5">
        <v>-0.18496266165067901</v>
      </c>
      <c r="DG125" s="5">
        <v>0.24458734061604001</v>
      </c>
      <c r="DH125" s="5">
        <v>-0.123011620171462</v>
      </c>
      <c r="DI125" s="5">
        <v>0.173791521831239</v>
      </c>
      <c r="DJ125" s="5">
        <v>9.1658266631063703E-3</v>
      </c>
      <c r="DK125" s="5">
        <v>-5.8381710795514302E-3</v>
      </c>
      <c r="DL125" s="5">
        <v>-0.30613320630565799</v>
      </c>
      <c r="DM125" s="5">
        <v>0.49116924209985702</v>
      </c>
      <c r="DN125" s="5">
        <v>0.111728241508295</v>
      </c>
      <c r="DO125" s="5">
        <v>-0.114546177735756</v>
      </c>
      <c r="DP125" s="5">
        <v>-0.13244226713653801</v>
      </c>
      <c r="DQ125" s="5">
        <v>0.25257632244564898</v>
      </c>
      <c r="DR125" s="5">
        <v>7.5044940545963904E-2</v>
      </c>
      <c r="DS125" s="5">
        <v>-9.5188699067294505E-2</v>
      </c>
      <c r="DT125" s="5">
        <v>-0.85823396225489001</v>
      </c>
      <c r="DU125" s="5">
        <v>1</v>
      </c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</row>
    <row r="126" spans="1:389" x14ac:dyDescent="0.45">
      <c r="A126" s="4" t="str">
        <f ca="1">"GAB / beta1dist in "&amp;CELL("address",'damages-1990'!$J$64)</f>
        <v>GAB / beta1dist in '[BHM betas v3pd.xlsx]damages-1990'!$J$64</v>
      </c>
      <c r="B126" s="6">
        <v>0.166299948435573</v>
      </c>
      <c r="C126" s="5">
        <v>9.9955285233068306E-2</v>
      </c>
      <c r="D126" s="5">
        <v>0.60684866530234804</v>
      </c>
      <c r="E126" s="5">
        <v>-0.35140031768490798</v>
      </c>
      <c r="F126" s="5">
        <v>0.20075900066077801</v>
      </c>
      <c r="G126" s="5">
        <v>-0.105069834197977</v>
      </c>
      <c r="H126" s="5">
        <v>0.154989347861621</v>
      </c>
      <c r="I126" s="5">
        <v>-0.183899522960279</v>
      </c>
      <c r="J126" s="5">
        <v>0.40932000472936603</v>
      </c>
      <c r="K126" s="5">
        <v>-0.202070297306014</v>
      </c>
      <c r="L126" s="5">
        <v>0.31249995132868102</v>
      </c>
      <c r="M126" s="5">
        <v>-6.7867202892051698E-2</v>
      </c>
      <c r="N126" s="5">
        <v>3.65329434596784E-3</v>
      </c>
      <c r="O126" s="5">
        <v>1.50497940307486E-2</v>
      </c>
      <c r="P126" s="5">
        <v>0.27685136999887899</v>
      </c>
      <c r="Q126" s="5">
        <v>-0.121914833516199</v>
      </c>
      <c r="R126" s="5">
        <v>0.62200174598178504</v>
      </c>
      <c r="S126" s="5">
        <v>-0.48427294395601</v>
      </c>
      <c r="T126" s="5">
        <v>9.4502958295793693E-2</v>
      </c>
      <c r="U126" s="5">
        <v>-0.114594066177994</v>
      </c>
      <c r="V126" s="5">
        <v>0.103533159589447</v>
      </c>
      <c r="W126" s="5">
        <v>0.19522407023562299</v>
      </c>
      <c r="X126" s="5">
        <v>0.66131586107950602</v>
      </c>
      <c r="Y126" s="5">
        <v>-0.43627816077288201</v>
      </c>
      <c r="Z126" s="5">
        <v>0.17331487447156699</v>
      </c>
      <c r="AA126" s="5">
        <v>-0.154280994954372</v>
      </c>
      <c r="AB126" s="5">
        <v>0.64971661298804795</v>
      </c>
      <c r="AC126" s="5">
        <v>-0.38366140873801202</v>
      </c>
      <c r="AD126" s="5">
        <v>0.51774458014956104</v>
      </c>
      <c r="AE126" s="5">
        <v>-0.204078151323448</v>
      </c>
      <c r="AF126" s="5">
        <v>-3.5059138009060603E-2</v>
      </c>
      <c r="AG126" s="5">
        <v>0.249144004182593</v>
      </c>
      <c r="AH126" s="5">
        <v>0.16964925117701499</v>
      </c>
      <c r="AI126" s="5">
        <v>-9.3750066080805702E-2</v>
      </c>
      <c r="AJ126" s="5">
        <v>0.290942606178894</v>
      </c>
      <c r="AK126" s="5">
        <v>-0.112586882532835</v>
      </c>
      <c r="AL126" s="5">
        <v>0.31100098195203801</v>
      </c>
      <c r="AM126" s="5">
        <v>-0.206848645518633</v>
      </c>
      <c r="AN126" s="5">
        <v>0.11267815969708</v>
      </c>
      <c r="AO126" s="5">
        <v>-6.0182354864856902E-2</v>
      </c>
      <c r="AP126" s="5">
        <v>8.2420797575201293E-2</v>
      </c>
      <c r="AQ126" s="5">
        <v>-8.7267546572118798E-2</v>
      </c>
      <c r="AR126" s="5">
        <v>0.255263879106916</v>
      </c>
      <c r="AS126" s="5">
        <v>-7.6474764508937698E-2</v>
      </c>
      <c r="AT126" s="5">
        <v>0.13917342361605101</v>
      </c>
      <c r="AU126" s="5">
        <v>2.7615436204732901E-2</v>
      </c>
      <c r="AV126" s="5">
        <v>0.42623678045561603</v>
      </c>
      <c r="AW126" s="5">
        <v>-0.25646106079672698</v>
      </c>
      <c r="AX126" s="5">
        <v>0.47168859205191699</v>
      </c>
      <c r="AY126" s="5">
        <v>-0.33056862086414002</v>
      </c>
      <c r="AZ126" s="5">
        <v>0.20849346991145901</v>
      </c>
      <c r="BA126" s="5">
        <v>-5.99590757139873E-2</v>
      </c>
      <c r="BB126" s="5">
        <v>0.58132479898104505</v>
      </c>
      <c r="BC126" s="5">
        <v>-0.30052998445534501</v>
      </c>
      <c r="BD126" s="5">
        <v>0.109834911956618</v>
      </c>
      <c r="BE126" s="5">
        <v>0.11756213509728</v>
      </c>
      <c r="BF126" s="5">
        <v>0.42238403210570302</v>
      </c>
      <c r="BG126" s="5">
        <v>-0.24591778988033799</v>
      </c>
      <c r="BH126" s="5">
        <v>0.60403290319689695</v>
      </c>
      <c r="BI126" s="5">
        <v>-0.34910790794525498</v>
      </c>
      <c r="BJ126" s="5">
        <v>-0.239479454964628</v>
      </c>
      <c r="BK126" s="5">
        <v>0.27815579345056202</v>
      </c>
      <c r="BL126" s="5">
        <v>0.14522151109326001</v>
      </c>
      <c r="BM126" s="5">
        <v>-0.186333600741063</v>
      </c>
      <c r="BN126" s="5">
        <v>-0.13952370053657401</v>
      </c>
      <c r="BO126" s="5">
        <v>0.25088939081342199</v>
      </c>
      <c r="BP126" s="5">
        <v>-1.9907256874097001E-2</v>
      </c>
      <c r="BQ126" s="5">
        <v>0.12109901801624701</v>
      </c>
      <c r="BR126" s="5">
        <v>0.67214461348437105</v>
      </c>
      <c r="BS126" s="5">
        <v>-0.363854253911435</v>
      </c>
      <c r="BT126" s="5">
        <v>0.59861587850848097</v>
      </c>
      <c r="BU126" s="5">
        <v>-0.37946971620281</v>
      </c>
      <c r="BV126" s="5">
        <v>0.71842372583802305</v>
      </c>
      <c r="BW126" s="5">
        <v>-0.47289231159044098</v>
      </c>
      <c r="BX126" s="5">
        <v>0.82986185822403702</v>
      </c>
      <c r="BY126" s="5">
        <v>-0.60950178873149696</v>
      </c>
      <c r="BZ126" s="5">
        <v>0.68092180231787502</v>
      </c>
      <c r="CA126" s="5">
        <v>-0.47023631038875502</v>
      </c>
      <c r="CB126" s="5">
        <v>0.53787904060823399</v>
      </c>
      <c r="CC126" s="5">
        <v>-0.43885490017857298</v>
      </c>
      <c r="CD126" s="5">
        <v>0.108713546317113</v>
      </c>
      <c r="CE126" s="5">
        <v>7.3308239284326004E-2</v>
      </c>
      <c r="CF126" s="5">
        <v>0.30941312864885401</v>
      </c>
      <c r="CG126" s="5">
        <v>-0.15346143920644401</v>
      </c>
      <c r="CH126" s="5">
        <v>0.282647229737225</v>
      </c>
      <c r="CI126" s="5">
        <v>-0.14638576862175201</v>
      </c>
      <c r="CJ126" s="5">
        <v>3.13881400722116E-2</v>
      </c>
      <c r="CK126" s="5">
        <v>2.0337169843451498E-2</v>
      </c>
      <c r="CL126" s="5">
        <v>0.121958956333897</v>
      </c>
      <c r="CM126" s="5">
        <v>-0.119565085098525</v>
      </c>
      <c r="CN126" s="5">
        <v>0.16985088662680001</v>
      </c>
      <c r="CO126" s="5">
        <v>-0.161873378378699</v>
      </c>
      <c r="CP126" s="5">
        <v>0.33623549731040098</v>
      </c>
      <c r="CQ126" s="5">
        <v>-9.6344041799655306E-2</v>
      </c>
      <c r="CR126" s="5">
        <v>0.28611527914498502</v>
      </c>
      <c r="CS126" s="5">
        <v>-0.10877939701863901</v>
      </c>
      <c r="CT126" s="5">
        <v>0.17267892570336901</v>
      </c>
      <c r="CU126" s="5">
        <v>-0.176914276406647</v>
      </c>
      <c r="CV126" s="5">
        <v>0.57818139080964603</v>
      </c>
      <c r="CW126" s="5">
        <v>-0.40382461398376801</v>
      </c>
      <c r="CX126" s="5">
        <v>0.36073198650066302</v>
      </c>
      <c r="CY126" s="5">
        <v>-0.145297990047183</v>
      </c>
      <c r="CZ126" s="5">
        <v>0.69588452473700801</v>
      </c>
      <c r="DA126" s="5">
        <v>-0.53617398279793105</v>
      </c>
      <c r="DB126" s="5">
        <v>0.365445429433716</v>
      </c>
      <c r="DC126" s="5">
        <v>-0.15553581284649301</v>
      </c>
      <c r="DD126" s="5">
        <v>0.31157404425527102</v>
      </c>
      <c r="DE126" s="5">
        <v>-6.6599510319690594E-2</v>
      </c>
      <c r="DF126" s="5">
        <v>0.14866837400914601</v>
      </c>
      <c r="DG126" s="5">
        <v>6.2405077998976301E-2</v>
      </c>
      <c r="DH126" s="5">
        <v>0.19892291043145899</v>
      </c>
      <c r="DI126" s="5">
        <v>-8.2562003476865806E-2</v>
      </c>
      <c r="DJ126" s="5">
        <v>4.1633441483649301E-2</v>
      </c>
      <c r="DK126" s="5">
        <v>-6.8735908878904697E-2</v>
      </c>
      <c r="DL126" s="5">
        <v>0.42150769909768598</v>
      </c>
      <c r="DM126" s="5">
        <v>-0.16182154782074901</v>
      </c>
      <c r="DN126" s="5">
        <v>-1.9261003712814299E-2</v>
      </c>
      <c r="DO126" s="5">
        <v>-3.18897835985925E-2</v>
      </c>
      <c r="DP126" s="5">
        <v>0.260066383399364</v>
      </c>
      <c r="DQ126" s="5">
        <v>-1.2491820263618499E-2</v>
      </c>
      <c r="DR126" s="5">
        <v>0.18279007563249899</v>
      </c>
      <c r="DS126" s="5">
        <v>-0.113573499918538</v>
      </c>
      <c r="DT126" s="5">
        <v>0.17170128058784401</v>
      </c>
      <c r="DU126" s="5">
        <v>-2.8414681719771399E-2</v>
      </c>
      <c r="DV126" s="5">
        <v>1</v>
      </c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</row>
    <row r="127" spans="1:389" x14ac:dyDescent="0.45">
      <c r="A127" s="4" t="str">
        <f ca="1">"GAB / beta2dist in "&amp;CELL("address",'damages-1990'!$K$64)</f>
        <v>GAB / beta2dist in '[BHM betas v3pd.xlsx]damages-1990'!$K$64</v>
      </c>
      <c r="B127" s="6">
        <v>-7.42059416007914E-2</v>
      </c>
      <c r="C127" s="5">
        <v>0.15511437099551301</v>
      </c>
      <c r="D127" s="5">
        <v>-0.39858508862522402</v>
      </c>
      <c r="E127" s="5">
        <v>0.59223355143739098</v>
      </c>
      <c r="F127" s="5">
        <v>-0.103604749555717</v>
      </c>
      <c r="G127" s="5">
        <v>0.20124110803395401</v>
      </c>
      <c r="H127" s="5">
        <v>-0.20484969027076599</v>
      </c>
      <c r="I127" s="5">
        <v>0.159486901746073</v>
      </c>
      <c r="J127" s="5">
        <v>-0.17195985008978101</v>
      </c>
      <c r="K127" s="5">
        <v>0.34785119803749398</v>
      </c>
      <c r="L127" s="5">
        <v>-7.2922452744507898E-2</v>
      </c>
      <c r="M127" s="5">
        <v>0.13588485259035599</v>
      </c>
      <c r="N127" s="5">
        <v>-6.3951682942932297E-2</v>
      </c>
      <c r="O127" s="5">
        <v>3.8198182349276598E-2</v>
      </c>
      <c r="P127" s="5">
        <v>-0.29224736526752698</v>
      </c>
      <c r="Q127" s="5">
        <v>0.37707020154354998</v>
      </c>
      <c r="R127" s="5">
        <v>-0.368409847530212</v>
      </c>
      <c r="S127" s="5">
        <v>0.64671708026597396</v>
      </c>
      <c r="T127" s="5">
        <v>-0.19464109352099099</v>
      </c>
      <c r="U127" s="5">
        <v>0.20776831743207499</v>
      </c>
      <c r="V127" s="5">
        <v>5.5127883288711703E-2</v>
      </c>
      <c r="W127" s="5">
        <v>-7.5487404581112805E-2</v>
      </c>
      <c r="X127" s="5">
        <v>-0.48673817326169899</v>
      </c>
      <c r="Y127" s="5">
        <v>0.67240404233599504</v>
      </c>
      <c r="Z127" s="5">
        <v>-0.18673809424658599</v>
      </c>
      <c r="AA127" s="5">
        <v>0.24321232294276701</v>
      </c>
      <c r="AB127" s="5">
        <v>-0.47590294326045102</v>
      </c>
      <c r="AC127" s="5">
        <v>0.59758307996904603</v>
      </c>
      <c r="AD127" s="5">
        <v>-0.35630187388773998</v>
      </c>
      <c r="AE127" s="5">
        <v>0.437416199850306</v>
      </c>
      <c r="AF127" s="5">
        <v>0.20728206264929899</v>
      </c>
      <c r="AG127" s="5">
        <v>-8.3305133453413893E-2</v>
      </c>
      <c r="AH127" s="5">
        <v>-0.109794099854485</v>
      </c>
      <c r="AI127" s="5">
        <v>0.18752255498547901</v>
      </c>
      <c r="AJ127" s="5">
        <v>-0.12668961587539501</v>
      </c>
      <c r="AK127" s="5">
        <v>0.29392134985148599</v>
      </c>
      <c r="AL127" s="5">
        <v>-1.7300060456333401E-2</v>
      </c>
      <c r="AM127" s="5">
        <v>9.8312804918633007E-2</v>
      </c>
      <c r="AN127" s="5">
        <v>-0.15769307783613401</v>
      </c>
      <c r="AO127" s="5">
        <v>0.19654896211824199</v>
      </c>
      <c r="AP127" s="5">
        <v>-0.21908362656597499</v>
      </c>
      <c r="AQ127" s="5">
        <v>0.245483624462905</v>
      </c>
      <c r="AR127" s="5">
        <v>-2.1146079016846599E-2</v>
      </c>
      <c r="AS127" s="5">
        <v>0.164268516586871</v>
      </c>
      <c r="AT127" s="5">
        <v>0.13555218497853999</v>
      </c>
      <c r="AU127" s="5">
        <v>-0.13581370030966</v>
      </c>
      <c r="AV127" s="5">
        <v>-0.14992179863472899</v>
      </c>
      <c r="AW127" s="5">
        <v>0.412357109998709</v>
      </c>
      <c r="AX127" s="5">
        <v>-0.22449931353397901</v>
      </c>
      <c r="AY127" s="5">
        <v>0.51752314528217203</v>
      </c>
      <c r="AZ127" s="5">
        <v>-0.192160633441119</v>
      </c>
      <c r="BA127" s="5">
        <v>0.28013495318281201</v>
      </c>
      <c r="BB127" s="5">
        <v>-0.294639144896859</v>
      </c>
      <c r="BC127" s="5">
        <v>0.44073120408979899</v>
      </c>
      <c r="BD127" s="5">
        <v>-7.3818411802732506E-2</v>
      </c>
      <c r="BE127" s="5">
        <v>0.13703574908486299</v>
      </c>
      <c r="BF127" s="5">
        <v>-0.23124216809798101</v>
      </c>
      <c r="BG127" s="5">
        <v>0.39640516309628898</v>
      </c>
      <c r="BH127" s="5">
        <v>-0.39033650895250599</v>
      </c>
      <c r="BI127" s="5">
        <v>0.58755522676911498</v>
      </c>
      <c r="BJ127" s="5">
        <v>3.3979969033660497E-2</v>
      </c>
      <c r="BK127" s="5">
        <v>-0.26193326827692898</v>
      </c>
      <c r="BL127" s="5">
        <v>-0.25925605484144099</v>
      </c>
      <c r="BM127" s="5">
        <v>0.26359530289271998</v>
      </c>
      <c r="BN127" s="5">
        <v>9.7883270794115004E-2</v>
      </c>
      <c r="BO127" s="5">
        <v>-0.19311411663699801</v>
      </c>
      <c r="BP127" s="5">
        <v>-4.0844187335489897E-2</v>
      </c>
      <c r="BQ127" s="5">
        <v>-6.7906420883003707E-2</v>
      </c>
      <c r="BR127" s="5">
        <v>-0.54402529743263495</v>
      </c>
      <c r="BS127" s="5">
        <v>0.626828629045309</v>
      </c>
      <c r="BT127" s="5">
        <v>-0.334727820230456</v>
      </c>
      <c r="BU127" s="5">
        <v>0.58151845063122698</v>
      </c>
      <c r="BV127" s="5">
        <v>-0.49935752032681602</v>
      </c>
      <c r="BW127" s="5">
        <v>0.70475091355155695</v>
      </c>
      <c r="BX127" s="5">
        <v>-0.61510586662897304</v>
      </c>
      <c r="BY127" s="5">
        <v>0.81790236662833404</v>
      </c>
      <c r="BZ127" s="5">
        <v>-0.49044258532999302</v>
      </c>
      <c r="CA127" s="5">
        <v>0.69209795244538796</v>
      </c>
      <c r="CB127" s="5">
        <v>-0.36461295237480101</v>
      </c>
      <c r="CC127" s="5">
        <v>0.55280080177939295</v>
      </c>
      <c r="CD127" s="5">
        <v>-3.5182868781625097E-2</v>
      </c>
      <c r="CE127" s="5">
        <v>8.2651108409500199E-2</v>
      </c>
      <c r="CF127" s="5">
        <v>-0.25075714924565501</v>
      </c>
      <c r="CG127" s="5">
        <v>0.37681127600338299</v>
      </c>
      <c r="CH127" s="5">
        <v>1.6814516805236001E-2</v>
      </c>
      <c r="CI127" s="5">
        <v>3.05211311026664E-2</v>
      </c>
      <c r="CJ127" s="5">
        <v>0.12976530276926801</v>
      </c>
      <c r="CK127" s="5">
        <v>1.50984899247028E-2</v>
      </c>
      <c r="CL127" s="5">
        <v>-0.170211264100324</v>
      </c>
      <c r="CM127" s="5">
        <v>0.196167716897516</v>
      </c>
      <c r="CN127" s="5">
        <v>-0.199530889760174</v>
      </c>
      <c r="CO127" s="5">
        <v>0.23812087993797801</v>
      </c>
      <c r="CP127" s="5">
        <v>-0.32445374179064101</v>
      </c>
      <c r="CQ127" s="5">
        <v>0.37870088641410798</v>
      </c>
      <c r="CR127" s="5">
        <v>-0.28374242813908501</v>
      </c>
      <c r="CS127" s="5">
        <v>0.36295083285554602</v>
      </c>
      <c r="CT127" s="5">
        <v>-0.22355015636558001</v>
      </c>
      <c r="CU127" s="5">
        <v>0.24992435973215399</v>
      </c>
      <c r="CV127" s="5">
        <v>-0.46207435481568998</v>
      </c>
      <c r="CW127" s="5">
        <v>0.56382897440787805</v>
      </c>
      <c r="CX127" s="5">
        <v>-0.15735572713313201</v>
      </c>
      <c r="CY127" s="5">
        <v>0.32652269285083502</v>
      </c>
      <c r="CZ127" s="5">
        <v>-0.53186156770206805</v>
      </c>
      <c r="DA127" s="5">
        <v>0.73335525051306305</v>
      </c>
      <c r="DB127" s="5">
        <v>-0.106640846394443</v>
      </c>
      <c r="DC127" s="5">
        <v>0.24529981451814201</v>
      </c>
      <c r="DD127" s="5">
        <v>-0.23063549560188501</v>
      </c>
      <c r="DE127" s="5">
        <v>0.33834027184912802</v>
      </c>
      <c r="DF127" s="5">
        <v>-2.5539870369772798E-2</v>
      </c>
      <c r="DG127" s="5">
        <v>0.15454004097213001</v>
      </c>
      <c r="DH127" s="5">
        <v>-0.11085370234514901</v>
      </c>
      <c r="DI127" s="5">
        <v>0.29234582638084999</v>
      </c>
      <c r="DJ127" s="5">
        <v>-0.183225241700052</v>
      </c>
      <c r="DK127" s="5">
        <v>0.20768809178008599</v>
      </c>
      <c r="DL127" s="5">
        <v>-0.26741389366449297</v>
      </c>
      <c r="DM127" s="5">
        <v>0.43558074470032299</v>
      </c>
      <c r="DN127" s="5">
        <v>-0.15718178677036099</v>
      </c>
      <c r="DO127" s="5">
        <v>0.15536812185568299</v>
      </c>
      <c r="DP127" s="5">
        <v>9.4926577757891303E-2</v>
      </c>
      <c r="DQ127" s="5">
        <v>-0.101127882315361</v>
      </c>
      <c r="DR127" s="5">
        <v>-0.15407852051033499</v>
      </c>
      <c r="DS127" s="5">
        <v>0.23992119444875901</v>
      </c>
      <c r="DT127" s="5">
        <v>-0.14565720741618901</v>
      </c>
      <c r="DU127" s="5">
        <v>0.18896151500538699</v>
      </c>
      <c r="DV127" s="5">
        <v>-0.82098951484105498</v>
      </c>
      <c r="DW127" s="5">
        <v>1</v>
      </c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</row>
    <row r="128" spans="1:389" x14ac:dyDescent="0.45">
      <c r="A128" s="4" t="str">
        <f ca="1">"GBR / beta1dist in "&amp;CELL("address",'damages-1990'!$J$65)</f>
        <v>GBR / beta1dist in '[BHM betas v3pd.xlsx]damages-1990'!$J$65</v>
      </c>
      <c r="B128" s="6">
        <v>0.349857164685549</v>
      </c>
      <c r="C128" s="5">
        <v>-0.26726605246027002</v>
      </c>
      <c r="D128" s="5">
        <v>-5.1635290244916804E-3</v>
      </c>
      <c r="E128" s="5">
        <v>-7.4256096434685101E-2</v>
      </c>
      <c r="F128" s="5">
        <v>0.44832137357254698</v>
      </c>
      <c r="G128" s="5">
        <v>-0.33926184615610999</v>
      </c>
      <c r="H128" s="5">
        <v>0.721836884396579</v>
      </c>
      <c r="I128" s="5">
        <v>-0.57124298099663895</v>
      </c>
      <c r="J128" s="5">
        <v>-0.17040235260718301</v>
      </c>
      <c r="K128" s="5">
        <v>1.9966467072459599E-2</v>
      </c>
      <c r="L128" s="5">
        <v>0.18863831387951199</v>
      </c>
      <c r="M128" s="5">
        <v>-8.0563222448850905E-2</v>
      </c>
      <c r="N128" s="5">
        <v>0.23944800313939901</v>
      </c>
      <c r="O128" s="5">
        <v>8.74733829140244E-2</v>
      </c>
      <c r="P128" s="5">
        <v>3.7385297517469199E-3</v>
      </c>
      <c r="Q128" s="5">
        <v>-7.8782572492412994E-2</v>
      </c>
      <c r="R128" s="5">
        <v>-1.6898940725498499E-2</v>
      </c>
      <c r="S128" s="5">
        <v>-0.114799087212137</v>
      </c>
      <c r="T128" s="5">
        <v>0.60637623436525301</v>
      </c>
      <c r="U128" s="5">
        <v>-0.440342193578032</v>
      </c>
      <c r="V128" s="5">
        <v>0.30102530372171499</v>
      </c>
      <c r="W128" s="5">
        <v>-0.19008799364362799</v>
      </c>
      <c r="X128" s="5">
        <v>1.54024101665068E-2</v>
      </c>
      <c r="Y128" s="5">
        <v>-5.9478609426621601E-2</v>
      </c>
      <c r="Z128" s="5">
        <v>0.78879637186525398</v>
      </c>
      <c r="AA128" s="5">
        <v>-0.69231674411472899</v>
      </c>
      <c r="AB128" s="5">
        <v>6.4667686194830196E-2</v>
      </c>
      <c r="AC128" s="5">
        <v>-0.114904774849477</v>
      </c>
      <c r="AD128" s="5">
        <v>0.13886328087904301</v>
      </c>
      <c r="AE128" s="5">
        <v>-0.17873613409872299</v>
      </c>
      <c r="AF128" s="5">
        <v>-0.16814585700273599</v>
      </c>
      <c r="AG128" s="5">
        <v>4.1783642533058898E-2</v>
      </c>
      <c r="AH128" s="5">
        <v>0.45943535504595701</v>
      </c>
      <c r="AI128" s="5">
        <v>-0.31646006873663302</v>
      </c>
      <c r="AJ128" s="5">
        <v>-0.21812552267513499</v>
      </c>
      <c r="AK128" s="5">
        <v>1.1944188900041199E-2</v>
      </c>
      <c r="AL128" s="5">
        <v>-0.27319153785595601</v>
      </c>
      <c r="AM128" s="5">
        <v>0.228550097045398</v>
      </c>
      <c r="AN128" s="5">
        <v>0.53255300309852904</v>
      </c>
      <c r="AO128" s="5">
        <v>-0.35271249998614002</v>
      </c>
      <c r="AP128" s="5">
        <v>0.65253538584270498</v>
      </c>
      <c r="AQ128" s="5">
        <v>-0.48873263212534102</v>
      </c>
      <c r="AR128" s="5">
        <v>-0.28079858014544301</v>
      </c>
      <c r="AS128" s="5">
        <v>0.19954905303432899</v>
      </c>
      <c r="AT128" s="5">
        <v>-0.28414479832036499</v>
      </c>
      <c r="AU128" s="5">
        <v>0.21116330766160599</v>
      </c>
      <c r="AV128" s="5">
        <v>-0.119128899035255</v>
      </c>
      <c r="AW128" s="5">
        <v>-4.9022501502788203E-2</v>
      </c>
      <c r="AX128" s="5">
        <v>-0.21942897448906801</v>
      </c>
      <c r="AY128" s="5">
        <v>5.9709864414408703E-2</v>
      </c>
      <c r="AZ128" s="5">
        <v>-8.6587239994398102E-2</v>
      </c>
      <c r="BA128" s="5">
        <v>2.4717720894876401E-2</v>
      </c>
      <c r="BB128" s="5">
        <v>-0.10554875800725</v>
      </c>
      <c r="BC128" s="5">
        <v>-1.90761296374552E-2</v>
      </c>
      <c r="BD128" s="5">
        <v>0.50219115900762301</v>
      </c>
      <c r="BE128" s="5">
        <v>-0.39561827076223999</v>
      </c>
      <c r="BF128" s="5">
        <v>-4.9592956166759398E-2</v>
      </c>
      <c r="BG128" s="5">
        <v>-7.6749971831226005E-2</v>
      </c>
      <c r="BH128" s="5">
        <v>-6.8411957001972695E-2</v>
      </c>
      <c r="BI128" s="5">
        <v>-2.9463574657099699E-4</v>
      </c>
      <c r="BJ128" s="5">
        <v>0.39902697681376598</v>
      </c>
      <c r="BK128" s="5">
        <v>-8.0138671258489294E-2</v>
      </c>
      <c r="BL128" s="5">
        <v>0.62666530618819605</v>
      </c>
      <c r="BM128" s="5">
        <v>-0.44548280631380099</v>
      </c>
      <c r="BN128" s="5">
        <v>0.55701159307909498</v>
      </c>
      <c r="BO128" s="5">
        <v>-0.35405957515516101</v>
      </c>
      <c r="BP128" s="5">
        <v>0.67381820081076205</v>
      </c>
      <c r="BQ128" s="5">
        <v>-0.53634935610233303</v>
      </c>
      <c r="BR128" s="5">
        <v>8.9190358249689697E-2</v>
      </c>
      <c r="BS128" s="5">
        <v>-8.9115442191199906E-2</v>
      </c>
      <c r="BT128" s="5">
        <v>-4.3960341525809597E-2</v>
      </c>
      <c r="BU128" s="5">
        <v>-4.7855775505790697E-2</v>
      </c>
      <c r="BV128" s="5">
        <v>-4.2934226195230997E-2</v>
      </c>
      <c r="BW128" s="5">
        <v>-2.9971870912987801E-2</v>
      </c>
      <c r="BX128" s="5">
        <v>-1.5279153151719901E-2</v>
      </c>
      <c r="BY128" s="5">
        <v>-3.9452624337871701E-2</v>
      </c>
      <c r="BZ128" s="5">
        <v>-0.14062368293888</v>
      </c>
      <c r="CA128" s="5">
        <v>3.2146037858196697E-2</v>
      </c>
      <c r="CB128" s="5">
        <v>-9.7772432748780197E-2</v>
      </c>
      <c r="CC128" s="5">
        <v>-1.6370142573661602E-2</v>
      </c>
      <c r="CD128" s="5">
        <v>-1.5172723290765801E-3</v>
      </c>
      <c r="CE128" s="5">
        <v>-9.5595187178316096E-2</v>
      </c>
      <c r="CF128" s="5">
        <v>-0.201366738313351</v>
      </c>
      <c r="CG128" s="5">
        <v>0.11478019239593799</v>
      </c>
      <c r="CH128" s="5">
        <v>-0.25740221071988101</v>
      </c>
      <c r="CI128" s="5">
        <v>0.228192643053788</v>
      </c>
      <c r="CJ128" s="5">
        <v>-2.9822579537667301E-2</v>
      </c>
      <c r="CK128" s="5">
        <v>-3.6513941469736202E-2</v>
      </c>
      <c r="CL128" s="5">
        <v>0.64862864890786098</v>
      </c>
      <c r="CM128" s="5">
        <v>-0.49737867294566701</v>
      </c>
      <c r="CN128" s="5">
        <v>0.73526186113490999</v>
      </c>
      <c r="CO128" s="5">
        <v>-0.60805234311264</v>
      </c>
      <c r="CP128" s="5">
        <v>-0.16595829964752201</v>
      </c>
      <c r="CQ128" s="5">
        <v>9.9662665057295596E-2</v>
      </c>
      <c r="CR128" s="5">
        <v>5.8513634088570095E-4</v>
      </c>
      <c r="CS128" s="5">
        <v>-3.8931778972877702E-2</v>
      </c>
      <c r="CT128" s="5">
        <v>0.67830587249363605</v>
      </c>
      <c r="CU128" s="5">
        <v>-0.52283013493355501</v>
      </c>
      <c r="CV128" s="5">
        <v>0.152259257977022</v>
      </c>
      <c r="CW128" s="5">
        <v>-0.20774607125831199</v>
      </c>
      <c r="CX128" s="5">
        <v>3.3771918181770798E-2</v>
      </c>
      <c r="CY128" s="5">
        <v>-0.18347811331234301</v>
      </c>
      <c r="CZ128" s="5">
        <v>-9.4301351324076493E-2</v>
      </c>
      <c r="DA128" s="5">
        <v>-1.25827587421154E-2</v>
      </c>
      <c r="DB128" s="5">
        <v>9.6457272324840092E-3</v>
      </c>
      <c r="DC128" s="5">
        <v>-0.262704253337112</v>
      </c>
      <c r="DD128" s="5">
        <v>-2.1077809964154298E-3</v>
      </c>
      <c r="DE128" s="5">
        <v>-5.6153575868673797E-2</v>
      </c>
      <c r="DF128" s="5">
        <v>-0.202186837995637</v>
      </c>
      <c r="DG128" s="5">
        <v>0.12929356565929601</v>
      </c>
      <c r="DH128" s="5">
        <v>0.34559035391706</v>
      </c>
      <c r="DI128" s="5">
        <v>-0.291001581288096</v>
      </c>
      <c r="DJ128" s="5">
        <v>0.63631876221132599</v>
      </c>
      <c r="DK128" s="5">
        <v>-0.48049530545595698</v>
      </c>
      <c r="DL128" s="5">
        <v>-0.156815787096278</v>
      </c>
      <c r="DM128" s="5">
        <v>0.114873291202339</v>
      </c>
      <c r="DN128" s="5">
        <v>0.65177409846960199</v>
      </c>
      <c r="DO128" s="5">
        <v>-0.477863593077611</v>
      </c>
      <c r="DP128" s="5">
        <v>-1.6410659132294898E-2</v>
      </c>
      <c r="DQ128" s="5">
        <v>7.9573975505156901E-3</v>
      </c>
      <c r="DR128" s="5">
        <v>0.71438499864008098</v>
      </c>
      <c r="DS128" s="5">
        <v>-0.66467361789592705</v>
      </c>
      <c r="DT128" s="5">
        <v>-0.27173347233603501</v>
      </c>
      <c r="DU128" s="5">
        <v>0.23334806795582899</v>
      </c>
      <c r="DV128" s="5">
        <v>0.11240386718083301</v>
      </c>
      <c r="DW128" s="5">
        <v>-0.16896737691415301</v>
      </c>
      <c r="DX128" s="5">
        <v>1</v>
      </c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</row>
    <row r="129" spans="1:389" x14ac:dyDescent="0.45">
      <c r="A129" s="4" t="str">
        <f ca="1">"GBR / beta2dist in "&amp;CELL("address",'damages-1990'!$K$65)</f>
        <v>GBR / beta2dist in '[BHM betas v3pd.xlsx]damages-1990'!$K$65</v>
      </c>
      <c r="B129" s="6">
        <v>-9.0841654714619302E-2</v>
      </c>
      <c r="C129" s="5">
        <v>0.18431744008745801</v>
      </c>
      <c r="D129" s="5">
        <v>5.7517346673123103E-2</v>
      </c>
      <c r="E129" s="5">
        <v>8.7048254962888497E-2</v>
      </c>
      <c r="F129" s="5">
        <v>-0.175383135340695</v>
      </c>
      <c r="G129" s="5">
        <v>0.23199631904242801</v>
      </c>
      <c r="H129" s="5">
        <v>-0.57745409896779998</v>
      </c>
      <c r="I129" s="5">
        <v>0.58081441133227196</v>
      </c>
      <c r="J129" s="5">
        <v>0.22682613902728499</v>
      </c>
      <c r="K129" s="5">
        <v>-4.0423846177166801E-2</v>
      </c>
      <c r="L129" s="5">
        <v>3.0225470271377599E-3</v>
      </c>
      <c r="M129" s="5">
        <v>2.9155058105123002E-2</v>
      </c>
      <c r="N129" s="5">
        <v>3.0736027760963999E-2</v>
      </c>
      <c r="O129" s="5">
        <v>-0.21246255569418901</v>
      </c>
      <c r="P129" s="5">
        <v>6.8139031137296599E-3</v>
      </c>
      <c r="Q129" s="5">
        <v>9.6272600876667502E-2</v>
      </c>
      <c r="R129" s="5">
        <v>0.102424446359954</v>
      </c>
      <c r="S129" s="5">
        <v>0.104979349297457</v>
      </c>
      <c r="T129" s="5">
        <v>-0.454643501993022</v>
      </c>
      <c r="U129" s="5">
        <v>0.43660263916820002</v>
      </c>
      <c r="V129" s="5">
        <v>-1.6922203332075E-2</v>
      </c>
      <c r="W129" s="5">
        <v>6.2290505300624598E-2</v>
      </c>
      <c r="X129" s="5">
        <v>7.0357273359876807E-2</v>
      </c>
      <c r="Y129" s="5">
        <v>4.6314569430810602E-2</v>
      </c>
      <c r="Z129" s="5">
        <v>-0.60235163580209905</v>
      </c>
      <c r="AA129" s="5">
        <v>0.70028559542336799</v>
      </c>
      <c r="AB129" s="5">
        <v>-8.1416540601882997E-2</v>
      </c>
      <c r="AC129" s="5">
        <v>0.16265405968725399</v>
      </c>
      <c r="AD129" s="5">
        <v>-0.14648943608193199</v>
      </c>
      <c r="AE129" s="5">
        <v>0.22469069561569199</v>
      </c>
      <c r="AF129" s="5">
        <v>0.15488495124797699</v>
      </c>
      <c r="AG129" s="5">
        <v>1.0808888301653901E-2</v>
      </c>
      <c r="AH129" s="5">
        <v>-0.211779011050649</v>
      </c>
      <c r="AI129" s="5">
        <v>0.23998207609491701</v>
      </c>
      <c r="AJ129" s="5">
        <v>0.27230869513524703</v>
      </c>
      <c r="AK129" s="5">
        <v>-2.46991477698493E-2</v>
      </c>
      <c r="AL129" s="5">
        <v>0.34947486334082001</v>
      </c>
      <c r="AM129" s="5">
        <v>-0.30084406517193102</v>
      </c>
      <c r="AN129" s="5">
        <v>-0.294452641636617</v>
      </c>
      <c r="AO129" s="5">
        <v>0.29001277049183499</v>
      </c>
      <c r="AP129" s="5">
        <v>-0.556573893888333</v>
      </c>
      <c r="AQ129" s="5">
        <v>0.54246967546893798</v>
      </c>
      <c r="AR129" s="5">
        <v>0.328864422943415</v>
      </c>
      <c r="AS129" s="5">
        <v>-0.21848588938979999</v>
      </c>
      <c r="AT129" s="5">
        <v>0.35231006083057997</v>
      </c>
      <c r="AU129" s="5">
        <v>-0.26097110961841202</v>
      </c>
      <c r="AV129" s="5">
        <v>0.17074538533588801</v>
      </c>
      <c r="AW129" s="5">
        <v>7.4069189762784898E-2</v>
      </c>
      <c r="AX129" s="5">
        <v>0.25237444356404398</v>
      </c>
      <c r="AY129" s="5">
        <v>-5.8208919987948603E-2</v>
      </c>
      <c r="AZ129" s="5">
        <v>0.10667471797151599</v>
      </c>
      <c r="BA129" s="5">
        <v>-1.26007343201584E-2</v>
      </c>
      <c r="BB129" s="5">
        <v>0.14208088367706601</v>
      </c>
      <c r="BC129" s="5">
        <v>2.9083317832013199E-2</v>
      </c>
      <c r="BD129" s="5">
        <v>-0.22363111469881999</v>
      </c>
      <c r="BE129" s="5">
        <v>0.304216626035341</v>
      </c>
      <c r="BF129" s="5">
        <v>9.1701787908147703E-2</v>
      </c>
      <c r="BG129" s="5">
        <v>9.0950182894297502E-2</v>
      </c>
      <c r="BH129" s="5">
        <v>0.104636023392308</v>
      </c>
      <c r="BI129" s="5">
        <v>1.4127794595981701E-2</v>
      </c>
      <c r="BJ129" s="5">
        <v>-0.25103809814976802</v>
      </c>
      <c r="BK129" s="5">
        <v>3.30225717111935E-2</v>
      </c>
      <c r="BL129" s="5">
        <v>-0.46395267211434399</v>
      </c>
      <c r="BM129" s="5">
        <v>0.431367114380312</v>
      </c>
      <c r="BN129" s="5">
        <v>-0.32819639793814198</v>
      </c>
      <c r="BO129" s="5">
        <v>0.32441895250615399</v>
      </c>
      <c r="BP129" s="5">
        <v>-0.42286391127704598</v>
      </c>
      <c r="BQ129" s="5">
        <v>0.46234547567689599</v>
      </c>
      <c r="BR129" s="5">
        <v>-6.3022776452521703E-2</v>
      </c>
      <c r="BS129" s="5">
        <v>0.102761348943917</v>
      </c>
      <c r="BT129" s="5">
        <v>9.2564271027417794E-2</v>
      </c>
      <c r="BU129" s="5">
        <v>5.9324350801769697E-2</v>
      </c>
      <c r="BV129" s="5">
        <v>8.8787575357670206E-2</v>
      </c>
      <c r="BW129" s="5">
        <v>2.5398770466411001E-2</v>
      </c>
      <c r="BX129" s="5">
        <v>4.5296372982457297E-2</v>
      </c>
      <c r="BY129" s="5">
        <v>4.4456325623392003E-2</v>
      </c>
      <c r="BZ129" s="5">
        <v>0.16021314155999</v>
      </c>
      <c r="CA129" s="5">
        <v>-2.2053274753225001E-2</v>
      </c>
      <c r="CB129" s="5">
        <v>0.132835055614034</v>
      </c>
      <c r="CC129" s="5">
        <v>1.3428208233395701E-2</v>
      </c>
      <c r="CD129" s="5">
        <v>3.4917092368497903E-2</v>
      </c>
      <c r="CE129" s="5">
        <v>0.117185348941031</v>
      </c>
      <c r="CF129" s="5">
        <v>0.227945184665548</v>
      </c>
      <c r="CG129" s="5">
        <v>-0.119717705029715</v>
      </c>
      <c r="CH129" s="5">
        <v>0.34536599785372202</v>
      </c>
      <c r="CI129" s="5">
        <v>-0.31006345812248998</v>
      </c>
      <c r="CJ129" s="5">
        <v>0.152459454512371</v>
      </c>
      <c r="CK129" s="5">
        <v>2.0007318812955799E-3</v>
      </c>
      <c r="CL129" s="5">
        <v>-0.477842906001961</v>
      </c>
      <c r="CM129" s="5">
        <v>0.49642592138078301</v>
      </c>
      <c r="CN129" s="5">
        <v>-0.54671561290225201</v>
      </c>
      <c r="CO129" s="5">
        <v>0.60412178105733405</v>
      </c>
      <c r="CP129" s="5">
        <v>0.17977977070801901</v>
      </c>
      <c r="CQ129" s="5">
        <v>-9.6058817076790801E-2</v>
      </c>
      <c r="CR129" s="5">
        <v>4.2919397372244698E-2</v>
      </c>
      <c r="CS129" s="5">
        <v>4.6078791678129699E-2</v>
      </c>
      <c r="CT129" s="5">
        <v>-0.53779286600215803</v>
      </c>
      <c r="CU129" s="5">
        <v>0.53117557555316197</v>
      </c>
      <c r="CV129" s="5">
        <v>-0.16101750187455699</v>
      </c>
      <c r="CW129" s="5">
        <v>0.25456446059003901</v>
      </c>
      <c r="CX129" s="5">
        <v>-2.0234159920844302E-2</v>
      </c>
      <c r="CY129" s="5">
        <v>0.241946272999049</v>
      </c>
      <c r="CZ129" s="5">
        <v>0.134340648581216</v>
      </c>
      <c r="DA129" s="5">
        <v>1.74129429330948E-2</v>
      </c>
      <c r="DB129" s="5">
        <v>3.34120138891058E-2</v>
      </c>
      <c r="DC129" s="5">
        <v>0.30849354467376999</v>
      </c>
      <c r="DD129" s="5">
        <v>1.2060113780141501E-2</v>
      </c>
      <c r="DE129" s="5">
        <v>8.3441756211113799E-2</v>
      </c>
      <c r="DF129" s="5">
        <v>0.26344594990713699</v>
      </c>
      <c r="DG129" s="5">
        <v>-0.14044467212154099</v>
      </c>
      <c r="DH129" s="5">
        <v>-9.0897939452506696E-2</v>
      </c>
      <c r="DI129" s="5">
        <v>0.19111029544380101</v>
      </c>
      <c r="DJ129" s="5">
        <v>-0.55264776660593595</v>
      </c>
      <c r="DK129" s="5">
        <v>0.53372337902095601</v>
      </c>
      <c r="DL129" s="5">
        <v>0.25943979089854902</v>
      </c>
      <c r="DM129" s="5">
        <v>-0.148106804563922</v>
      </c>
      <c r="DN129" s="5">
        <v>-0.58629264331634401</v>
      </c>
      <c r="DO129" s="5">
        <v>0.54246472667956802</v>
      </c>
      <c r="DP129" s="5">
        <v>4.1182857443565299E-2</v>
      </c>
      <c r="DQ129" s="5">
        <v>1.7015503559831901E-2</v>
      </c>
      <c r="DR129" s="5">
        <v>-0.47600634339894998</v>
      </c>
      <c r="DS129" s="5">
        <v>0.61669035202924605</v>
      </c>
      <c r="DT129" s="5">
        <v>0.298967987948279</v>
      </c>
      <c r="DU129" s="5">
        <v>-0.25656178469545898</v>
      </c>
      <c r="DV129" s="5">
        <v>-9.3418417483870003E-2</v>
      </c>
      <c r="DW129" s="5">
        <v>0.18442339484022699</v>
      </c>
      <c r="DX129" s="5">
        <v>-0.89446980245913998</v>
      </c>
      <c r="DY129" s="5">
        <v>1</v>
      </c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</row>
    <row r="130" spans="1:389" x14ac:dyDescent="0.45">
      <c r="A130" s="4" t="str">
        <f ca="1">"GEO / beta1dist in "&amp;CELL("address",'damages-1990'!$J$66)</f>
        <v>GEO / beta1dist in '[BHM betas v3pd.xlsx]damages-1990'!$J$66</v>
      </c>
      <c r="B130" s="6">
        <v>0.376625267444617</v>
      </c>
      <c r="C130" s="5">
        <v>-0.15655780280880499</v>
      </c>
      <c r="D130" s="5">
        <v>0.216253843480846</v>
      </c>
      <c r="E130" s="5">
        <v>-0.27450772469760298</v>
      </c>
      <c r="F130" s="5">
        <v>0.54308584797987403</v>
      </c>
      <c r="G130" s="5">
        <v>-0.356097840367955</v>
      </c>
      <c r="H130" s="5">
        <v>0.40595933030741099</v>
      </c>
      <c r="I130" s="5">
        <v>-0.219124216669077</v>
      </c>
      <c r="J130" s="5">
        <v>-0.235275286591278</v>
      </c>
      <c r="K130" s="5">
        <v>0.21189892968176999</v>
      </c>
      <c r="L130" s="5">
        <v>0.215178184046659</v>
      </c>
      <c r="M130" s="5">
        <v>-3.1251431168258098E-2</v>
      </c>
      <c r="N130" s="5">
        <v>0.847391927032495</v>
      </c>
      <c r="O130" s="5">
        <v>-0.66126555814238497</v>
      </c>
      <c r="P130" s="5">
        <v>0.11464264306184301</v>
      </c>
      <c r="Q130" s="5">
        <v>-0.107176801867616</v>
      </c>
      <c r="R130" s="5">
        <v>4.2849460171007298E-2</v>
      </c>
      <c r="S130" s="5">
        <v>-4.54555718873264E-2</v>
      </c>
      <c r="T130" s="5">
        <v>0.52517974528122502</v>
      </c>
      <c r="U130" s="5">
        <v>-0.36270974502946102</v>
      </c>
      <c r="V130" s="5">
        <v>0.55500039761820097</v>
      </c>
      <c r="W130" s="5">
        <v>-0.459715854303409</v>
      </c>
      <c r="X130" s="5">
        <v>0.18987788526704899</v>
      </c>
      <c r="Y130" s="5">
        <v>-0.19048740738449199</v>
      </c>
      <c r="Z130" s="5">
        <v>0.52678633852402201</v>
      </c>
      <c r="AA130" s="5">
        <v>-0.34278186860251098</v>
      </c>
      <c r="AB130" s="5">
        <v>-1.52617753296454E-2</v>
      </c>
      <c r="AC130" s="5">
        <v>-4.5312261615587497E-2</v>
      </c>
      <c r="AD130" s="5">
        <v>-3.0081076687086501E-2</v>
      </c>
      <c r="AE130" s="5">
        <v>-1.46422751670609E-2</v>
      </c>
      <c r="AF130" s="5">
        <v>-1.6394385295616001E-2</v>
      </c>
      <c r="AG130" s="5">
        <v>-1.6771753266709401E-2</v>
      </c>
      <c r="AH130" s="5">
        <v>0.64131312170618504</v>
      </c>
      <c r="AI130" s="5">
        <v>-0.46551203898517302</v>
      </c>
      <c r="AJ130" s="5">
        <v>-0.25999083815055701</v>
      </c>
      <c r="AK130" s="5">
        <v>0.226284996541634</v>
      </c>
      <c r="AL130" s="5">
        <v>-1.38047475440423E-2</v>
      </c>
      <c r="AM130" s="5">
        <v>-1.2926037538942701E-2</v>
      </c>
      <c r="AN130" s="5">
        <v>0.63201918841826199</v>
      </c>
      <c r="AO130" s="5">
        <v>-0.433936698092729</v>
      </c>
      <c r="AP130" s="5">
        <v>0.39885439139784601</v>
      </c>
      <c r="AQ130" s="5">
        <v>-0.19724941553470399</v>
      </c>
      <c r="AR130" s="5">
        <v>1.05527670435608E-2</v>
      </c>
      <c r="AS130" s="5">
        <v>-8.5237210291048499E-2</v>
      </c>
      <c r="AT130" s="5">
        <v>-1.6243841592114699E-2</v>
      </c>
      <c r="AU130" s="5">
        <v>-1.2377253657672701E-2</v>
      </c>
      <c r="AV130" s="5">
        <v>5.1675029149844398E-3</v>
      </c>
      <c r="AW130" s="5">
        <v>-3.90633131567341E-2</v>
      </c>
      <c r="AX130" s="5">
        <v>-5.0552399689390301E-3</v>
      </c>
      <c r="AY130" s="5">
        <v>-0.11931229986766601</v>
      </c>
      <c r="AZ130" s="5">
        <v>0.120314238963242</v>
      </c>
      <c r="BA130" s="5">
        <v>-8.3732315609307495E-2</v>
      </c>
      <c r="BB130" s="5">
        <v>-4.37872948233951E-2</v>
      </c>
      <c r="BC130" s="5">
        <v>-1.19723694611454E-2</v>
      </c>
      <c r="BD130" s="5">
        <v>0.533386636770669</v>
      </c>
      <c r="BE130" s="5">
        <v>-0.29391497689056201</v>
      </c>
      <c r="BF130" s="5">
        <v>0.14841407489315001</v>
      </c>
      <c r="BG130" s="5">
        <v>-0.197195060125817</v>
      </c>
      <c r="BH130" s="5">
        <v>6.35229621235423E-3</v>
      </c>
      <c r="BI130" s="5">
        <v>-5.6232124199873203E-2</v>
      </c>
      <c r="BJ130" s="5">
        <v>0.33391594080013098</v>
      </c>
      <c r="BK130" s="5">
        <v>-9.1963120503685894E-2</v>
      </c>
      <c r="BL130" s="5">
        <v>0.551404867162405</v>
      </c>
      <c r="BM130" s="5">
        <v>-0.41089112319696702</v>
      </c>
      <c r="BN130" s="5">
        <v>0.405223555304145</v>
      </c>
      <c r="BO130" s="5">
        <v>-7.1429404803277502E-2</v>
      </c>
      <c r="BP130" s="5">
        <v>0.48975481527301801</v>
      </c>
      <c r="BQ130" s="5">
        <v>-0.19637570572271301</v>
      </c>
      <c r="BR130" s="5">
        <v>-9.0963303294765603E-3</v>
      </c>
      <c r="BS130" s="5">
        <v>-2.4842185737788802E-2</v>
      </c>
      <c r="BT130" s="5">
        <v>-3.4296502457580397E-2</v>
      </c>
      <c r="BU130" s="5">
        <v>-1.17078844209303E-3</v>
      </c>
      <c r="BV130" s="5">
        <v>8.0203014546277006E-3</v>
      </c>
      <c r="BW130" s="5">
        <v>-7.2922717687732702E-2</v>
      </c>
      <c r="BX130" s="5">
        <v>-5.4053515749312303E-3</v>
      </c>
      <c r="BY130" s="5">
        <v>-5.9009999142140099E-2</v>
      </c>
      <c r="BZ130" s="5">
        <v>-1.7895653003395399E-2</v>
      </c>
      <c r="CA130" s="5">
        <v>-8.8081963747783404E-2</v>
      </c>
      <c r="CB130" s="5">
        <v>0.12649198165894299</v>
      </c>
      <c r="CC130" s="5">
        <v>-0.13105823063765301</v>
      </c>
      <c r="CD130" s="5">
        <v>0.134744041351616</v>
      </c>
      <c r="CE130" s="5">
        <v>-0.113890498170343</v>
      </c>
      <c r="CF130" s="5">
        <v>0.155426475794429</v>
      </c>
      <c r="CG130" s="5">
        <v>-0.198932527702255</v>
      </c>
      <c r="CH130" s="5">
        <v>1.31731938505512E-2</v>
      </c>
      <c r="CI130" s="5">
        <v>-5.8792661249942001E-2</v>
      </c>
      <c r="CJ130" s="5">
        <v>-0.14025025526781901</v>
      </c>
      <c r="CK130" s="5">
        <v>0.21484625512293401</v>
      </c>
      <c r="CL130" s="5">
        <v>0.51750203447508603</v>
      </c>
      <c r="CM130" s="5">
        <v>-0.34218336416204498</v>
      </c>
      <c r="CN130" s="5">
        <v>0.51892814135171395</v>
      </c>
      <c r="CO130" s="5">
        <v>-0.33662514932384702</v>
      </c>
      <c r="CP130" s="5">
        <v>-7.0022224025581198E-2</v>
      </c>
      <c r="CQ130" s="5">
        <v>3.7315154934881002E-2</v>
      </c>
      <c r="CR130" s="5">
        <v>0.14647025492007801</v>
      </c>
      <c r="CS130" s="5">
        <v>-9.6193354771224496E-2</v>
      </c>
      <c r="CT130" s="5">
        <v>0.36943208273386302</v>
      </c>
      <c r="CU130" s="5">
        <v>-0.19343577178781399</v>
      </c>
      <c r="CV130" s="5">
        <v>4.4878613800987302E-2</v>
      </c>
      <c r="CW130" s="5">
        <v>-6.0026063461007598E-2</v>
      </c>
      <c r="CX130" s="5">
        <v>-0.106204122150884</v>
      </c>
      <c r="CY130" s="5">
        <v>8.5239832376076199E-2</v>
      </c>
      <c r="CZ130" s="5">
        <v>0.121995801969334</v>
      </c>
      <c r="DA130" s="5">
        <v>-0.205898845593319</v>
      </c>
      <c r="DB130" s="5">
        <v>-0.12671322055154999</v>
      </c>
      <c r="DC130" s="5">
        <v>0.14928451296456</v>
      </c>
      <c r="DD130" s="5">
        <v>-3.2164061015300102E-2</v>
      </c>
      <c r="DE130" s="5">
        <v>-1.01950612110339E-2</v>
      </c>
      <c r="DF130" s="5">
        <v>-1.0731309159510901E-2</v>
      </c>
      <c r="DG130" s="5">
        <v>-1.1711364278056E-2</v>
      </c>
      <c r="DH130" s="5">
        <v>0.37204119739578601</v>
      </c>
      <c r="DI130" s="5">
        <v>-0.17209957159466199</v>
      </c>
      <c r="DJ130" s="5">
        <v>0.28788546821948902</v>
      </c>
      <c r="DK130" s="5">
        <v>-8.3592901409348094E-2</v>
      </c>
      <c r="DL130" s="5">
        <v>8.0307269466133493E-2</v>
      </c>
      <c r="DM130" s="5">
        <v>-8.1701418519723498E-2</v>
      </c>
      <c r="DN130" s="5">
        <v>0.23147335993266099</v>
      </c>
      <c r="DO130" s="5">
        <v>1.5194730206058601E-2</v>
      </c>
      <c r="DP130" s="5">
        <v>-9.0908047247176896E-2</v>
      </c>
      <c r="DQ130" s="5">
        <v>0.101747031816164</v>
      </c>
      <c r="DR130" s="5">
        <v>0.52759306516729798</v>
      </c>
      <c r="DS130" s="5">
        <v>-0.33188582377876602</v>
      </c>
      <c r="DT130" s="5">
        <v>1.5121601438822701E-3</v>
      </c>
      <c r="DU130" s="5">
        <v>-1.7884659639263702E-2</v>
      </c>
      <c r="DV130" s="5">
        <v>6.0320033267972001E-2</v>
      </c>
      <c r="DW130" s="5">
        <v>-0.12061273916373701</v>
      </c>
      <c r="DX130" s="5">
        <v>0.33314891663434398</v>
      </c>
      <c r="DY130" s="5">
        <v>-7.7206111245952794E-2</v>
      </c>
      <c r="DZ130" s="5">
        <v>1</v>
      </c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</row>
    <row r="131" spans="1:389" x14ac:dyDescent="0.45">
      <c r="A131" s="4" t="str">
        <f ca="1">"GEO / beta2dist in "&amp;CELL("address",'damages-1990'!$K$66)</f>
        <v>GEO / beta2dist in '[BHM betas v3pd.xlsx]damages-1990'!$K$66</v>
      </c>
      <c r="B131" s="6">
        <v>-2.5319255198818301E-2</v>
      </c>
      <c r="C131" s="5">
        <v>-1.73174421675776E-2</v>
      </c>
      <c r="D131" s="5">
        <v>-0.210444235949938</v>
      </c>
      <c r="E131" s="5">
        <v>0.33536446825594801</v>
      </c>
      <c r="F131" s="5">
        <v>-0.22642927182773201</v>
      </c>
      <c r="G131" s="5">
        <v>0.239481610103327</v>
      </c>
      <c r="H131" s="5">
        <v>-0.22660672339094401</v>
      </c>
      <c r="I131" s="5">
        <v>0.20714044232515699</v>
      </c>
      <c r="J131" s="5">
        <v>0.30004576585968301</v>
      </c>
      <c r="K131" s="5">
        <v>-0.27000757473402898</v>
      </c>
      <c r="L131" s="5">
        <v>4.46112718312714E-2</v>
      </c>
      <c r="M131" s="5">
        <v>-7.4608057859063506E-2</v>
      </c>
      <c r="N131" s="5">
        <v>-0.71311803243985405</v>
      </c>
      <c r="O131" s="5">
        <v>0.799213842553956</v>
      </c>
      <c r="P131" s="5">
        <v>-0.18908110361397401</v>
      </c>
      <c r="Q131" s="5">
        <v>0.19008894897193401</v>
      </c>
      <c r="R131" s="5">
        <v>6.3280909576375097E-2</v>
      </c>
      <c r="S131" s="5">
        <v>3.22534156221616E-3</v>
      </c>
      <c r="T131" s="5">
        <v>-0.410891451165176</v>
      </c>
      <c r="U131" s="5">
        <v>0.43956177946470398</v>
      </c>
      <c r="V131" s="5">
        <v>-0.24038176076981599</v>
      </c>
      <c r="W131" s="5">
        <v>0.34198094685481201</v>
      </c>
      <c r="X131" s="5">
        <v>-0.15859378320588699</v>
      </c>
      <c r="Y131" s="5">
        <v>0.238074269822725</v>
      </c>
      <c r="Z131" s="5">
        <v>-0.28938037706891001</v>
      </c>
      <c r="AA131" s="5">
        <v>0.31911984552584399</v>
      </c>
      <c r="AB131" s="5">
        <v>-3.8152001837993802E-3</v>
      </c>
      <c r="AC131" s="5">
        <v>8.6652513151881605E-2</v>
      </c>
      <c r="AD131" s="5">
        <v>5.79684380343971E-2</v>
      </c>
      <c r="AE131" s="5">
        <v>1.7375913592667699E-2</v>
      </c>
      <c r="AF131" s="5">
        <v>2.9549503304272199E-2</v>
      </c>
      <c r="AG131" s="5">
        <v>3.1687288493223498E-2</v>
      </c>
      <c r="AH131" s="5">
        <v>-0.361937741237424</v>
      </c>
      <c r="AI131" s="5">
        <v>0.40716049669827598</v>
      </c>
      <c r="AJ131" s="5">
        <v>0.34896738808622002</v>
      </c>
      <c r="AK131" s="5">
        <v>-0.32096122917030201</v>
      </c>
      <c r="AL131" s="5">
        <v>2.2167955877174699E-3</v>
      </c>
      <c r="AM131" s="5">
        <v>4.20253639846805E-2</v>
      </c>
      <c r="AN131" s="5">
        <v>-0.41197764749341198</v>
      </c>
      <c r="AO131" s="5">
        <v>0.44988738946921802</v>
      </c>
      <c r="AP131" s="5">
        <v>-0.17081890156092</v>
      </c>
      <c r="AQ131" s="5">
        <v>0.13844733282427499</v>
      </c>
      <c r="AR131" s="5">
        <v>-4.95164597632601E-2</v>
      </c>
      <c r="AS131" s="5">
        <v>0.166616781802159</v>
      </c>
      <c r="AT131" s="5">
        <v>6.9384657865292701E-2</v>
      </c>
      <c r="AU131" s="5">
        <v>-2.08586965312401E-2</v>
      </c>
      <c r="AV131" s="5">
        <v>7.3839724413179597E-2</v>
      </c>
      <c r="AW131" s="5">
        <v>1.18400066963338E-2</v>
      </c>
      <c r="AX131" s="5">
        <v>1.08769998594926E-2</v>
      </c>
      <c r="AY131" s="5">
        <v>0.158220471098836</v>
      </c>
      <c r="AZ131" s="5">
        <v>-0.19739479130284199</v>
      </c>
      <c r="BA131" s="5">
        <v>0.160416691515087</v>
      </c>
      <c r="BB131" s="5">
        <v>7.4426304317922701E-2</v>
      </c>
      <c r="BC131" s="5">
        <v>1.50840270780366E-2</v>
      </c>
      <c r="BD131" s="5">
        <v>-0.16873373517149801</v>
      </c>
      <c r="BE131" s="5">
        <v>0.13008342890529201</v>
      </c>
      <c r="BF131" s="5">
        <v>-0.18029728976496201</v>
      </c>
      <c r="BG131" s="5">
        <v>0.28270523086684501</v>
      </c>
      <c r="BH131" s="5">
        <v>-1.9949728850127298E-2</v>
      </c>
      <c r="BI131" s="5">
        <v>0.112161770506367</v>
      </c>
      <c r="BJ131" s="5">
        <v>-0.21260137731350101</v>
      </c>
      <c r="BK131" s="5">
        <v>0.14011031962129999</v>
      </c>
      <c r="BL131" s="5">
        <v>-0.44168076641901799</v>
      </c>
      <c r="BM131" s="5">
        <v>0.49431263047434298</v>
      </c>
      <c r="BN131" s="5">
        <v>-7.7353017699931997E-2</v>
      </c>
      <c r="BO131" s="5">
        <v>-3.5561329752884299E-2</v>
      </c>
      <c r="BP131" s="5">
        <v>-0.11462770004059</v>
      </c>
      <c r="BQ131" s="5">
        <v>4.3145896411335097E-3</v>
      </c>
      <c r="BR131" s="5">
        <v>1.55449125070014E-2</v>
      </c>
      <c r="BS131" s="5">
        <v>5.6399299834985601E-2</v>
      </c>
      <c r="BT131" s="5">
        <v>5.84849802337657E-2</v>
      </c>
      <c r="BU131" s="5">
        <v>2.35646023387227E-2</v>
      </c>
      <c r="BV131" s="5">
        <v>1.5147427869577301E-2</v>
      </c>
      <c r="BW131" s="5">
        <v>9.2012346030784106E-2</v>
      </c>
      <c r="BX131" s="5">
        <v>1.4828460807462701E-2</v>
      </c>
      <c r="BY131" s="5">
        <v>8.6693684958016604E-2</v>
      </c>
      <c r="BZ131" s="5">
        <v>2.1015769854634998E-2</v>
      </c>
      <c r="CA131" s="5">
        <v>0.123869448040915</v>
      </c>
      <c r="CB131" s="5">
        <v>-0.140640497586941</v>
      </c>
      <c r="CC131" s="5">
        <v>0.164747299550149</v>
      </c>
      <c r="CD131" s="5">
        <v>-8.1868641009793394E-2</v>
      </c>
      <c r="CE131" s="5">
        <v>9.3625114112375701E-2</v>
      </c>
      <c r="CF131" s="5">
        <v>-0.22606401035113399</v>
      </c>
      <c r="CG131" s="5">
        <v>0.29087091268948101</v>
      </c>
      <c r="CH131" s="5">
        <v>-6.5909431839441604E-2</v>
      </c>
      <c r="CI131" s="5">
        <v>0.139919521965118</v>
      </c>
      <c r="CJ131" s="5">
        <v>0.356364262175692</v>
      </c>
      <c r="CK131" s="5">
        <v>-0.38599212173640302</v>
      </c>
      <c r="CL131" s="5">
        <v>-0.347058702082018</v>
      </c>
      <c r="CM131" s="5">
        <v>0.37806595676029903</v>
      </c>
      <c r="CN131" s="5">
        <v>-0.30229980258825401</v>
      </c>
      <c r="CO131" s="5">
        <v>0.33374192724026502</v>
      </c>
      <c r="CP131" s="5">
        <v>8.4001285872030207E-2</v>
      </c>
      <c r="CQ131" s="5">
        <v>-4.2868152633519202E-2</v>
      </c>
      <c r="CR131" s="5">
        <v>-0.19874402711076999</v>
      </c>
      <c r="CS131" s="5">
        <v>0.17516900214546599</v>
      </c>
      <c r="CT131" s="5">
        <v>-0.21029043123211399</v>
      </c>
      <c r="CU131" s="5">
        <v>0.20060845428778501</v>
      </c>
      <c r="CV131" s="5">
        <v>-3.9946129843009701E-2</v>
      </c>
      <c r="CW131" s="5">
        <v>8.0738053810327795E-2</v>
      </c>
      <c r="CX131" s="5">
        <v>0.22414370918111401</v>
      </c>
      <c r="CY131" s="5">
        <v>-0.16508493909494401</v>
      </c>
      <c r="CZ131" s="5">
        <v>-0.139124030715602</v>
      </c>
      <c r="DA131" s="5">
        <v>0.29029022630639301</v>
      </c>
      <c r="DB131" s="5">
        <v>0.25621526595703897</v>
      </c>
      <c r="DC131" s="5">
        <v>-0.27000767757601801</v>
      </c>
      <c r="DD131" s="5">
        <v>7.7581707883623202E-2</v>
      </c>
      <c r="DE131" s="5">
        <v>-1.35926898848658E-2</v>
      </c>
      <c r="DF131" s="5">
        <v>9.4859186293984196E-2</v>
      </c>
      <c r="DG131" s="5">
        <v>-3.1424655293525998E-2</v>
      </c>
      <c r="DH131" s="5">
        <v>-5.1184292970824802E-2</v>
      </c>
      <c r="DI131" s="5">
        <v>1.8340182280259298E-2</v>
      </c>
      <c r="DJ131" s="5">
        <v>-8.0656441366029202E-2</v>
      </c>
      <c r="DK131" s="5">
        <v>2.38988571874377E-2</v>
      </c>
      <c r="DL131" s="5">
        <v>-7.0481932317885104E-2</v>
      </c>
      <c r="DM131" s="5">
        <v>0.12220247782082699</v>
      </c>
      <c r="DN131" s="5">
        <v>-3.8728528370385297E-2</v>
      </c>
      <c r="DO131" s="5">
        <v>-6.9208214384872402E-2</v>
      </c>
      <c r="DP131" s="5">
        <v>0.202273234900919</v>
      </c>
      <c r="DQ131" s="5">
        <v>-0.15901125554175699</v>
      </c>
      <c r="DR131" s="5">
        <v>-0.22229962922676699</v>
      </c>
      <c r="DS131" s="5">
        <v>0.242585025337516</v>
      </c>
      <c r="DT131" s="5">
        <v>9.4294357716174001E-3</v>
      </c>
      <c r="DU131" s="5">
        <v>1.8124543775928401E-2</v>
      </c>
      <c r="DV131" s="5">
        <v>-5.7550626907231998E-2</v>
      </c>
      <c r="DW131" s="5">
        <v>0.14878731907619899</v>
      </c>
      <c r="DX131" s="5">
        <v>-3.3403410259493699E-2</v>
      </c>
      <c r="DY131" s="5">
        <v>-6.3098890091792106E-2</v>
      </c>
      <c r="DZ131" s="5">
        <v>-0.85505094677190296</v>
      </c>
      <c r="EA131" s="5">
        <v>1</v>
      </c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</row>
    <row r="132" spans="1:389" x14ac:dyDescent="0.45">
      <c r="A132" s="4" t="str">
        <f ca="1">"GHA / beta1dist in "&amp;CELL("address",'damages-1990'!$J$67)</f>
        <v>GHA / beta1dist in '[BHM betas v3pd.xlsx]damages-1990'!$J$67</v>
      </c>
      <c r="B132" s="6">
        <v>0.23153305202222901</v>
      </c>
      <c r="C132" s="5">
        <v>2.34935244631642E-2</v>
      </c>
      <c r="D132" s="5">
        <v>0.62571236105290995</v>
      </c>
      <c r="E132" s="5">
        <v>-0.39061808067863801</v>
      </c>
      <c r="F132" s="5">
        <v>0.14414151759211699</v>
      </c>
      <c r="G132" s="5">
        <v>2.58450906012858E-2</v>
      </c>
      <c r="H132" s="5">
        <v>-0.103634467405676</v>
      </c>
      <c r="I132" s="5">
        <v>8.6278252723985802E-2</v>
      </c>
      <c r="J132" s="5">
        <v>0.58888139998162603</v>
      </c>
      <c r="K132" s="5">
        <v>-0.358450246011846</v>
      </c>
      <c r="L132" s="5">
        <v>0.32816871220841898</v>
      </c>
      <c r="M132" s="5">
        <v>-3.8041901546013702E-2</v>
      </c>
      <c r="N132" s="5">
        <v>-9.7278635893260301E-2</v>
      </c>
      <c r="O132" s="5">
        <v>0.106752842028667</v>
      </c>
      <c r="P132" s="5">
        <v>0.467358916970599</v>
      </c>
      <c r="Q132" s="5">
        <v>-0.35730312906126999</v>
      </c>
      <c r="R132" s="5">
        <v>0.55926985759227099</v>
      </c>
      <c r="S132" s="5">
        <v>-0.36054431998713399</v>
      </c>
      <c r="T132" s="5">
        <v>0.110769950447324</v>
      </c>
      <c r="U132" s="5">
        <v>-0.143412122308406</v>
      </c>
      <c r="V132" s="5">
        <v>0.14315428589598</v>
      </c>
      <c r="W132" s="5">
        <v>0.18937607883136401</v>
      </c>
      <c r="X132" s="5">
        <v>0.56527336877286505</v>
      </c>
      <c r="Y132" s="5">
        <v>-0.32714190429769302</v>
      </c>
      <c r="Z132" s="5">
        <v>9.4589241352658907E-2</v>
      </c>
      <c r="AA132" s="5">
        <v>-5.6257190279481298E-2</v>
      </c>
      <c r="AB132" s="5">
        <v>0.78893688669916795</v>
      </c>
      <c r="AC132" s="5">
        <v>-0.63530521745864299</v>
      </c>
      <c r="AD132" s="5">
        <v>0.81413187285680999</v>
      </c>
      <c r="AE132" s="5">
        <v>-0.59706814974005895</v>
      </c>
      <c r="AF132" s="5">
        <v>0.27237989635652299</v>
      </c>
      <c r="AG132" s="5">
        <v>-9.087102083595E-2</v>
      </c>
      <c r="AH132" s="5">
        <v>0.14300612000315699</v>
      </c>
      <c r="AI132" s="5">
        <v>-2.0413310978303401E-2</v>
      </c>
      <c r="AJ132" s="5">
        <v>0.49989869967787498</v>
      </c>
      <c r="AK132" s="5">
        <v>-0.27928270728293803</v>
      </c>
      <c r="AL132" s="5">
        <v>0.20627947667278301</v>
      </c>
      <c r="AM132" s="5">
        <v>-7.3777345631272598E-2</v>
      </c>
      <c r="AN132" s="5">
        <v>9.7560365167561794E-2</v>
      </c>
      <c r="AO132" s="5">
        <v>-4.0199122853599903E-2</v>
      </c>
      <c r="AP132" s="5">
        <v>5.1295077833074798E-2</v>
      </c>
      <c r="AQ132" s="5">
        <v>-6.3195146518819204E-2</v>
      </c>
      <c r="AR132" s="5">
        <v>0.50463086340493601</v>
      </c>
      <c r="AS132" s="5">
        <v>-0.34191361236812101</v>
      </c>
      <c r="AT132" s="5">
        <v>9.6374498668794994E-2</v>
      </c>
      <c r="AU132" s="5">
        <v>5.65295303682289E-2</v>
      </c>
      <c r="AV132" s="5">
        <v>0.57327714545110497</v>
      </c>
      <c r="AW132" s="5">
        <v>-0.44325828194890998</v>
      </c>
      <c r="AX132" s="5">
        <v>0.64522842222225296</v>
      </c>
      <c r="AY132" s="5">
        <v>-0.52188758085037901</v>
      </c>
      <c r="AZ132" s="5">
        <v>0.53752437071816495</v>
      </c>
      <c r="BA132" s="5">
        <v>-0.43232604981126699</v>
      </c>
      <c r="BB132" s="5">
        <v>0.60835439304836603</v>
      </c>
      <c r="BC132" s="5">
        <v>-0.37637516637438101</v>
      </c>
      <c r="BD132" s="5">
        <v>0.11105806984332101</v>
      </c>
      <c r="BE132" s="5">
        <v>0.12676138737620701</v>
      </c>
      <c r="BF132" s="5">
        <v>0.57290705138461695</v>
      </c>
      <c r="BG132" s="5">
        <v>-0.38520545468378198</v>
      </c>
      <c r="BH132" s="5">
        <v>0.75906471835705602</v>
      </c>
      <c r="BI132" s="5">
        <v>-0.55929405317453795</v>
      </c>
      <c r="BJ132" s="5">
        <v>-0.252718264167065</v>
      </c>
      <c r="BK132" s="5">
        <v>0.27099602140630402</v>
      </c>
      <c r="BL132" s="5">
        <v>0.10443284816203501</v>
      </c>
      <c r="BM132" s="5">
        <v>-0.14825576063683099</v>
      </c>
      <c r="BN132" s="5">
        <v>-0.157655597038281</v>
      </c>
      <c r="BO132" s="5">
        <v>0.25459450865340799</v>
      </c>
      <c r="BP132" s="5">
        <v>-0.15631025543204899</v>
      </c>
      <c r="BQ132" s="5">
        <v>0.30184276590270298</v>
      </c>
      <c r="BR132" s="5">
        <v>0.82648983922697306</v>
      </c>
      <c r="BS132" s="5">
        <v>-0.62369200975567696</v>
      </c>
      <c r="BT132" s="5">
        <v>0.80106986697725402</v>
      </c>
      <c r="BU132" s="5">
        <v>-0.65155875160946897</v>
      </c>
      <c r="BV132" s="5">
        <v>0.68628576788366802</v>
      </c>
      <c r="BW132" s="5">
        <v>-0.47294806678185303</v>
      </c>
      <c r="BX132" s="5">
        <v>0.66860028213969103</v>
      </c>
      <c r="BY132" s="5">
        <v>-0.50110357182763998</v>
      </c>
      <c r="BZ132" s="5">
        <v>0.66750471418586199</v>
      </c>
      <c r="CA132" s="5">
        <v>-0.49791727811443698</v>
      </c>
      <c r="CB132" s="5">
        <v>0.37511331046415902</v>
      </c>
      <c r="CC132" s="5">
        <v>-0.29047870163647299</v>
      </c>
      <c r="CD132" s="5">
        <v>0.24610939865127801</v>
      </c>
      <c r="CE132" s="5">
        <v>-0.12414101600209899</v>
      </c>
      <c r="CF132" s="5">
        <v>0.60831868234417996</v>
      </c>
      <c r="CG132" s="5">
        <v>-0.47564117508530901</v>
      </c>
      <c r="CH132" s="5">
        <v>0.20533051314864201</v>
      </c>
      <c r="CI132" s="5">
        <v>-9.9754465028166706E-2</v>
      </c>
      <c r="CJ132" s="5">
        <v>0.100669719462673</v>
      </c>
      <c r="CK132" s="5">
        <v>4.4773132917208802E-2</v>
      </c>
      <c r="CL132" s="5">
        <v>0.107996155957841</v>
      </c>
      <c r="CM132" s="5">
        <v>-0.107211108503234</v>
      </c>
      <c r="CN132" s="5">
        <v>9.9271950130337294E-2</v>
      </c>
      <c r="CO132" s="5">
        <v>-7.8294681665646196E-2</v>
      </c>
      <c r="CP132" s="5">
        <v>0.54114874702051297</v>
      </c>
      <c r="CQ132" s="5">
        <v>-0.31783069018097099</v>
      </c>
      <c r="CR132" s="5">
        <v>0.45695629007979899</v>
      </c>
      <c r="CS132" s="5">
        <v>-0.33456762516720201</v>
      </c>
      <c r="CT132" s="5">
        <v>0.120288667058034</v>
      </c>
      <c r="CU132" s="5">
        <v>-0.134613031371043</v>
      </c>
      <c r="CV132" s="5">
        <v>0.62479469594926995</v>
      </c>
      <c r="CW132" s="5">
        <v>-0.46961111292916202</v>
      </c>
      <c r="CX132" s="5">
        <v>0.61314270330689102</v>
      </c>
      <c r="CY132" s="5">
        <v>-0.42207269193597402</v>
      </c>
      <c r="CZ132" s="5">
        <v>0.63364655285997296</v>
      </c>
      <c r="DA132" s="5">
        <v>-0.489958828699667</v>
      </c>
      <c r="DB132" s="5">
        <v>0.38603233466891901</v>
      </c>
      <c r="DC132" s="5">
        <v>-9.9710728144669497E-2</v>
      </c>
      <c r="DD132" s="5">
        <v>0.61977313803016398</v>
      </c>
      <c r="DE132" s="5">
        <v>-0.370498372882824</v>
      </c>
      <c r="DF132" s="5">
        <v>0.437500753372977</v>
      </c>
      <c r="DG132" s="5">
        <v>-0.247971464120953</v>
      </c>
      <c r="DH132" s="5">
        <v>0.23822962074432599</v>
      </c>
      <c r="DI132" s="5">
        <v>-6.6093275396804596E-2</v>
      </c>
      <c r="DJ132" s="5">
        <v>3.2887958671437303E-2</v>
      </c>
      <c r="DK132" s="5">
        <v>-7.2216363274492101E-2</v>
      </c>
      <c r="DL132" s="5">
        <v>0.55399977769195496</v>
      </c>
      <c r="DM132" s="5">
        <v>-0.312718259510955</v>
      </c>
      <c r="DN132" s="5">
        <v>-3.25798421518474E-2</v>
      </c>
      <c r="DO132" s="5">
        <v>-3.9200649730116499E-2</v>
      </c>
      <c r="DP132" s="5">
        <v>0.284228987618102</v>
      </c>
      <c r="DQ132" s="5">
        <v>-4.9306446121303103E-2</v>
      </c>
      <c r="DR132" s="5">
        <v>0.117255729741863</v>
      </c>
      <c r="DS132" s="5">
        <v>-2.34266683115767E-2</v>
      </c>
      <c r="DT132" s="5">
        <v>0.23418610675066701</v>
      </c>
      <c r="DU132" s="5">
        <v>-9.1919929922157403E-2</v>
      </c>
      <c r="DV132" s="5">
        <v>0.61612087957181405</v>
      </c>
      <c r="DW132" s="5">
        <v>-0.46858037982656398</v>
      </c>
      <c r="DX132" s="5">
        <v>1.9996986602191999E-2</v>
      </c>
      <c r="DY132" s="5">
        <v>-1.46207103702742E-2</v>
      </c>
      <c r="DZ132" s="5">
        <v>-1.6967888627768699E-2</v>
      </c>
      <c r="EA132" s="5">
        <v>1.2424042936850699E-2</v>
      </c>
      <c r="EB132" s="5">
        <v>1</v>
      </c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</row>
    <row r="133" spans="1:389" x14ac:dyDescent="0.45">
      <c r="A133" s="4" t="str">
        <f ca="1">"GHA / beta2dist in "&amp;CELL("address",'damages-1990'!$K$67)</f>
        <v>GHA / beta2dist in '[BHM betas v3pd.xlsx]damages-1990'!$K$67</v>
      </c>
      <c r="B133" s="6">
        <v>-0.120394038831932</v>
      </c>
      <c r="C133" s="5">
        <v>0.25101146321525503</v>
      </c>
      <c r="D133" s="5">
        <v>-0.34638290337646199</v>
      </c>
      <c r="E133" s="5">
        <v>0.613961670619527</v>
      </c>
      <c r="F133" s="5">
        <v>-3.3556005136121697E-2</v>
      </c>
      <c r="G133" s="5">
        <v>7.3705808400318207E-2</v>
      </c>
      <c r="H133" s="5">
        <v>7.22129643636574E-2</v>
      </c>
      <c r="I133" s="5">
        <v>-0.14400332770195101</v>
      </c>
      <c r="J133" s="5">
        <v>-0.31451297775118497</v>
      </c>
      <c r="K133" s="5">
        <v>0.51184279446120995</v>
      </c>
      <c r="L133" s="5">
        <v>-5.9789153846105197E-2</v>
      </c>
      <c r="M133" s="5">
        <v>0.12100609076237299</v>
      </c>
      <c r="N133" s="5">
        <v>3.7807516136861799E-2</v>
      </c>
      <c r="O133" s="5">
        <v>-5.9892437800739599E-2</v>
      </c>
      <c r="P133" s="5">
        <v>-0.47763554035427802</v>
      </c>
      <c r="Q133" s="5">
        <v>0.62627423560231799</v>
      </c>
      <c r="R133" s="5">
        <v>-0.24345509612517999</v>
      </c>
      <c r="S133" s="5">
        <v>0.50306158411419599</v>
      </c>
      <c r="T133" s="5">
        <v>-0.19806677954208499</v>
      </c>
      <c r="U133" s="5">
        <v>0.21648322871835801</v>
      </c>
      <c r="V133" s="5">
        <v>3.3786384682563002E-2</v>
      </c>
      <c r="W133" s="5">
        <v>-5.5850058697943503E-2</v>
      </c>
      <c r="X133" s="5">
        <v>-0.32812901752199303</v>
      </c>
      <c r="Y133" s="5">
        <v>0.55101138819731799</v>
      </c>
      <c r="Z133" s="5">
        <v>-9.2956854661337601E-2</v>
      </c>
      <c r="AA133" s="5">
        <v>0.12861022763399199</v>
      </c>
      <c r="AB133" s="5">
        <v>-0.52516276242769699</v>
      </c>
      <c r="AC133" s="5">
        <v>0.81434278895426504</v>
      </c>
      <c r="AD133" s="5">
        <v>-0.59054818502128503</v>
      </c>
      <c r="AE133" s="5">
        <v>0.82584302313501801</v>
      </c>
      <c r="AF133" s="5">
        <v>-0.105456319916493</v>
      </c>
      <c r="AG133" s="5">
        <v>0.304896050762891</v>
      </c>
      <c r="AH133" s="5">
        <v>-6.1674368635272203E-2</v>
      </c>
      <c r="AI133" s="5">
        <v>0.10186318352542301</v>
      </c>
      <c r="AJ133" s="5">
        <v>-0.29858646118412302</v>
      </c>
      <c r="AK133" s="5">
        <v>0.46262996190730998</v>
      </c>
      <c r="AL133" s="5">
        <v>0.122705495317064</v>
      </c>
      <c r="AM133" s="5">
        <v>-4.8489866599865102E-2</v>
      </c>
      <c r="AN133" s="5">
        <v>-0.12949898896366999</v>
      </c>
      <c r="AO133" s="5">
        <v>0.166241216501755</v>
      </c>
      <c r="AP133" s="5">
        <v>-0.179827211534972</v>
      </c>
      <c r="AQ133" s="5">
        <v>0.20914978697247399</v>
      </c>
      <c r="AR133" s="5">
        <v>-0.21601215107835101</v>
      </c>
      <c r="AS133" s="5">
        <v>0.408519298576284</v>
      </c>
      <c r="AT133" s="5">
        <v>0.20516974819570899</v>
      </c>
      <c r="AU133" s="5">
        <v>-0.16357439448560701</v>
      </c>
      <c r="AV133" s="5">
        <v>-0.234419002913693</v>
      </c>
      <c r="AW133" s="5">
        <v>0.57942833461864196</v>
      </c>
      <c r="AX133" s="5">
        <v>-0.331133273374284</v>
      </c>
      <c r="AY133" s="5">
        <v>0.68170820283248601</v>
      </c>
      <c r="AZ133" s="5">
        <v>-0.50779613163216897</v>
      </c>
      <c r="BA133" s="5">
        <v>0.66166841101751095</v>
      </c>
      <c r="BB133" s="5">
        <v>-0.25433577203936603</v>
      </c>
      <c r="BC133" s="5">
        <v>0.504535535076994</v>
      </c>
      <c r="BD133" s="5">
        <v>-7.4095323754258494E-2</v>
      </c>
      <c r="BE133" s="5">
        <v>0.16242764533999601</v>
      </c>
      <c r="BF133" s="5">
        <v>-0.30668305853084199</v>
      </c>
      <c r="BG133" s="5">
        <v>0.49560912280424202</v>
      </c>
      <c r="BH133" s="5">
        <v>-0.47334541304525102</v>
      </c>
      <c r="BI133" s="5">
        <v>0.78306475667324604</v>
      </c>
      <c r="BJ133" s="5">
        <v>1.9309341649330802E-2</v>
      </c>
      <c r="BK133" s="5">
        <v>-0.240982680952185</v>
      </c>
      <c r="BL133" s="5">
        <v>-0.20250813751931901</v>
      </c>
      <c r="BM133" s="5">
        <v>0.196398758806267</v>
      </c>
      <c r="BN133" s="5">
        <v>8.2974860780748394E-2</v>
      </c>
      <c r="BO133" s="5">
        <v>-0.157053913967345</v>
      </c>
      <c r="BP133" s="5">
        <v>9.0460932251831105E-2</v>
      </c>
      <c r="BQ133" s="5">
        <v>-0.24480036428631299</v>
      </c>
      <c r="BR133" s="5">
        <v>-0.631329110311876</v>
      </c>
      <c r="BS133" s="5">
        <v>0.876629310803963</v>
      </c>
      <c r="BT133" s="5">
        <v>-0.46582833553251501</v>
      </c>
      <c r="BU133" s="5">
        <v>0.83683710680137002</v>
      </c>
      <c r="BV133" s="5">
        <v>-0.39361892516938801</v>
      </c>
      <c r="BW133" s="5">
        <v>0.68629077747351497</v>
      </c>
      <c r="BX133" s="5">
        <v>-0.36439447089240001</v>
      </c>
      <c r="BY133" s="5">
        <v>0.66885665202780498</v>
      </c>
      <c r="BZ133" s="5">
        <v>-0.40628692775437603</v>
      </c>
      <c r="CA133" s="5">
        <v>0.69530435973585702</v>
      </c>
      <c r="CB133" s="5">
        <v>-0.130095183244503</v>
      </c>
      <c r="CC133" s="5">
        <v>0.36488180919607699</v>
      </c>
      <c r="CD133" s="5">
        <v>-0.17173338869791599</v>
      </c>
      <c r="CE133" s="5">
        <v>0.31416678622576999</v>
      </c>
      <c r="CF133" s="5">
        <v>-0.50290785269590099</v>
      </c>
      <c r="CG133" s="5">
        <v>0.68227427024416798</v>
      </c>
      <c r="CH133" s="5">
        <v>0.14391827506875199</v>
      </c>
      <c r="CI133" s="5">
        <v>-4.69042376764797E-2</v>
      </c>
      <c r="CJ133" s="5">
        <v>5.88838478579864E-2</v>
      </c>
      <c r="CK133" s="5">
        <v>1.6457440011638201E-3</v>
      </c>
      <c r="CL133" s="5">
        <v>-0.14044990285425499</v>
      </c>
      <c r="CM133" s="5">
        <v>0.16416473315559599</v>
      </c>
      <c r="CN133" s="5">
        <v>-0.11358408275969099</v>
      </c>
      <c r="CO133" s="5">
        <v>0.134917985694572</v>
      </c>
      <c r="CP133" s="5">
        <v>-0.51553784359833299</v>
      </c>
      <c r="CQ133" s="5">
        <v>0.62986990192682901</v>
      </c>
      <c r="CR133" s="5">
        <v>-0.44416094758561497</v>
      </c>
      <c r="CS133" s="5">
        <v>0.60005923406339901</v>
      </c>
      <c r="CT133" s="5">
        <v>-0.163436867618176</v>
      </c>
      <c r="CU133" s="5">
        <v>0.193272679786539</v>
      </c>
      <c r="CV133" s="5">
        <v>-0.462636267273899</v>
      </c>
      <c r="CW133" s="5">
        <v>0.61238931187455103</v>
      </c>
      <c r="CX133" s="5">
        <v>-0.36728093487264701</v>
      </c>
      <c r="CY133" s="5">
        <v>0.60356575421310699</v>
      </c>
      <c r="CZ133" s="5">
        <v>-0.38969957226164798</v>
      </c>
      <c r="DA133" s="5">
        <v>0.64435664125376901</v>
      </c>
      <c r="DB133" s="5">
        <v>-0.108557596119171</v>
      </c>
      <c r="DC133" s="5">
        <v>0.212486913246592</v>
      </c>
      <c r="DD133" s="5">
        <v>-0.51514284681838196</v>
      </c>
      <c r="DE133" s="5">
        <v>0.66489965119929195</v>
      </c>
      <c r="DF133" s="5">
        <v>-0.30674927578812999</v>
      </c>
      <c r="DG133" s="5">
        <v>0.49807978280009602</v>
      </c>
      <c r="DH133" s="5">
        <v>-0.142821492663463</v>
      </c>
      <c r="DI133" s="5">
        <v>0.296596846966798</v>
      </c>
      <c r="DJ133" s="5">
        <v>-0.18550558707633799</v>
      </c>
      <c r="DK133" s="5">
        <v>0.211282815796806</v>
      </c>
      <c r="DL133" s="5">
        <v>-0.36580510339424699</v>
      </c>
      <c r="DM133" s="5">
        <v>0.60773313186504097</v>
      </c>
      <c r="DN133" s="5">
        <v>-0.164787614352295</v>
      </c>
      <c r="DO133" s="5">
        <v>0.164147556177866</v>
      </c>
      <c r="DP133" s="5">
        <v>0.13494868671729299</v>
      </c>
      <c r="DQ133" s="5">
        <v>-9.1635526082991803E-2</v>
      </c>
      <c r="DR133" s="5">
        <v>-7.3630055818293197E-2</v>
      </c>
      <c r="DS133" s="5">
        <v>0.142310298842661</v>
      </c>
      <c r="DT133" s="5">
        <v>-0.19391868793151801</v>
      </c>
      <c r="DU133" s="5">
        <v>0.269808163361764</v>
      </c>
      <c r="DV133" s="5">
        <v>-0.348601101851085</v>
      </c>
      <c r="DW133" s="5">
        <v>0.59625660834903804</v>
      </c>
      <c r="DX133" s="5">
        <v>-7.3311746564751396E-2</v>
      </c>
      <c r="DY133" s="5">
        <v>0.101205588630007</v>
      </c>
      <c r="DZ133" s="5">
        <v>-3.5225352544408901E-2</v>
      </c>
      <c r="EA133" s="5">
        <v>6.5749993896971795E-2</v>
      </c>
      <c r="EB133" s="5">
        <v>-0.77360997130462394</v>
      </c>
      <c r="EC133" s="5">
        <v>1</v>
      </c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</row>
    <row r="134" spans="1:389" x14ac:dyDescent="0.45">
      <c r="A134" s="4" t="str">
        <f ca="1">"GIN / beta1dist in "&amp;CELL("address",'damages-1990'!$J$68)</f>
        <v>GIN / beta1dist in '[BHM betas v3pd.xlsx]damages-1990'!$J$68</v>
      </c>
      <c r="B134" s="6">
        <v>0.25808194497486298</v>
      </c>
      <c r="C134" s="5">
        <v>4.7814391734169001E-2</v>
      </c>
      <c r="D134" s="5">
        <v>0.65112300687390001</v>
      </c>
      <c r="E134" s="5">
        <v>-0.38901792549020098</v>
      </c>
      <c r="F134" s="5">
        <v>0.190057981943106</v>
      </c>
      <c r="G134" s="5">
        <v>8.5755892329390498E-3</v>
      </c>
      <c r="H134" s="5">
        <v>-1.5228589205568599E-2</v>
      </c>
      <c r="I134" s="5">
        <v>7.6815534052851499E-3</v>
      </c>
      <c r="J134" s="5">
        <v>0.63181779353345102</v>
      </c>
      <c r="K134" s="5">
        <v>-0.38382776731178098</v>
      </c>
      <c r="L134" s="5">
        <v>0.42899846360466998</v>
      </c>
      <c r="M134" s="5">
        <v>-0.129605443737697</v>
      </c>
      <c r="N134" s="5">
        <v>-0.112729972455344</v>
      </c>
      <c r="O134" s="5">
        <v>0.13778642136666899</v>
      </c>
      <c r="P134" s="5">
        <v>0.39485651886727302</v>
      </c>
      <c r="Q134" s="5">
        <v>-0.25835465616294101</v>
      </c>
      <c r="R134" s="5">
        <v>0.64012902776429104</v>
      </c>
      <c r="S134" s="5">
        <v>-0.43301063291981701</v>
      </c>
      <c r="T134" s="5">
        <v>0.124675339595878</v>
      </c>
      <c r="U134" s="5">
        <v>-0.146496229981427</v>
      </c>
      <c r="V134" s="5">
        <v>0.16303984321863699</v>
      </c>
      <c r="W134" s="5">
        <v>0.231049182030241</v>
      </c>
      <c r="X134" s="5">
        <v>0.65013374534713197</v>
      </c>
      <c r="Y134" s="5">
        <v>-0.397998780038824</v>
      </c>
      <c r="Z134" s="5">
        <v>0.14409566392482201</v>
      </c>
      <c r="AA134" s="5">
        <v>-8.4647481558089405E-2</v>
      </c>
      <c r="AB134" s="5">
        <v>0.72885679020543503</v>
      </c>
      <c r="AC134" s="5">
        <v>-0.53818567481630397</v>
      </c>
      <c r="AD134" s="5">
        <v>0.73895825615955901</v>
      </c>
      <c r="AE134" s="5">
        <v>-0.478995082206153</v>
      </c>
      <c r="AF134" s="5">
        <v>0.29787151907475701</v>
      </c>
      <c r="AG134" s="5">
        <v>-0.114247856844853</v>
      </c>
      <c r="AH134" s="5">
        <v>0.153507001468496</v>
      </c>
      <c r="AI134" s="5">
        <v>2.0977349579175599E-3</v>
      </c>
      <c r="AJ134" s="5">
        <v>0.51604094998864503</v>
      </c>
      <c r="AK134" s="5">
        <v>-0.28204318673988299</v>
      </c>
      <c r="AL134" s="5">
        <v>0.245689946597831</v>
      </c>
      <c r="AM134" s="5">
        <v>-9.3419247610542502E-2</v>
      </c>
      <c r="AN134" s="5">
        <v>0.135194742495264</v>
      </c>
      <c r="AO134" s="5">
        <v>-5.4851304442448699E-2</v>
      </c>
      <c r="AP134" s="5">
        <v>6.1539114561088799E-2</v>
      </c>
      <c r="AQ134" s="5">
        <v>-6.7376773267890294E-2</v>
      </c>
      <c r="AR134" s="5">
        <v>0.43786008323192999</v>
      </c>
      <c r="AS134" s="5">
        <v>-0.243221300748031</v>
      </c>
      <c r="AT134" s="5">
        <v>0.117828888529649</v>
      </c>
      <c r="AU134" s="5">
        <v>5.7155337091310501E-2</v>
      </c>
      <c r="AV134" s="5">
        <v>0.53646334440516796</v>
      </c>
      <c r="AW134" s="5">
        <v>-0.352377954440659</v>
      </c>
      <c r="AX134" s="5">
        <v>0.60238317798596497</v>
      </c>
      <c r="AY134" s="5">
        <v>-0.44156114858569401</v>
      </c>
      <c r="AZ134" s="5">
        <v>0.45509771607698202</v>
      </c>
      <c r="BA134" s="5">
        <v>-0.33526274081850199</v>
      </c>
      <c r="BB134" s="5">
        <v>0.58743768882634595</v>
      </c>
      <c r="BC134" s="5">
        <v>-0.31855693310114702</v>
      </c>
      <c r="BD134" s="5">
        <v>0.144735045084909</v>
      </c>
      <c r="BE134" s="5">
        <v>0.141681132698774</v>
      </c>
      <c r="BF134" s="5">
        <v>0.51524755528080302</v>
      </c>
      <c r="BG134" s="5">
        <v>-0.31547931200073898</v>
      </c>
      <c r="BH134" s="5">
        <v>0.74893783974174699</v>
      </c>
      <c r="BI134" s="5">
        <v>-0.52022488751445395</v>
      </c>
      <c r="BJ134" s="5">
        <v>-0.21892769899409201</v>
      </c>
      <c r="BK134" s="5">
        <v>0.211984020725901</v>
      </c>
      <c r="BL134" s="5">
        <v>0.122475363562753</v>
      </c>
      <c r="BM134" s="5">
        <v>-0.15015608368917299</v>
      </c>
      <c r="BN134" s="5">
        <v>-0.13450033798741601</v>
      </c>
      <c r="BO134" s="5">
        <v>0.26997742103556399</v>
      </c>
      <c r="BP134" s="5">
        <v>-0.130053251175859</v>
      </c>
      <c r="BQ134" s="5">
        <v>0.30077295573616902</v>
      </c>
      <c r="BR134" s="5">
        <v>0.80250415829951505</v>
      </c>
      <c r="BS134" s="5">
        <v>-0.56219300427274999</v>
      </c>
      <c r="BT134" s="5">
        <v>0.76446939256915003</v>
      </c>
      <c r="BU134" s="5">
        <v>-0.57708523650325205</v>
      </c>
      <c r="BV134" s="5">
        <v>0.736873843716777</v>
      </c>
      <c r="BW134" s="5">
        <v>-0.49816330758772998</v>
      </c>
      <c r="BX134" s="5">
        <v>0.73575562904886904</v>
      </c>
      <c r="BY134" s="5">
        <v>-0.53934220536476496</v>
      </c>
      <c r="BZ134" s="5">
        <v>0.68962290444389496</v>
      </c>
      <c r="CA134" s="5">
        <v>-0.48226504412547999</v>
      </c>
      <c r="CB134" s="5">
        <v>0.37195702302446998</v>
      </c>
      <c r="CC134" s="5">
        <v>-0.25957403360695802</v>
      </c>
      <c r="CD134" s="5">
        <v>0.22795016896317</v>
      </c>
      <c r="CE134" s="5">
        <v>-8.8252165704387694E-2</v>
      </c>
      <c r="CF134" s="5">
        <v>0.49229018488827597</v>
      </c>
      <c r="CG134" s="5">
        <v>-0.34123060618602002</v>
      </c>
      <c r="CH134" s="5">
        <v>0.24281805355422201</v>
      </c>
      <c r="CI134" s="5">
        <v>-0.103509745859726</v>
      </c>
      <c r="CJ134" s="5">
        <v>0.10417973945629</v>
      </c>
      <c r="CK134" s="5">
        <v>8.8415588098439898E-2</v>
      </c>
      <c r="CL134" s="5">
        <v>0.13461572360788099</v>
      </c>
      <c r="CM134" s="5">
        <v>-0.124070949430669</v>
      </c>
      <c r="CN134" s="5">
        <v>0.14670723330822699</v>
      </c>
      <c r="CO134" s="5">
        <v>-0.11284389598021299</v>
      </c>
      <c r="CP134" s="5">
        <v>0.57631610857882798</v>
      </c>
      <c r="CQ134" s="5">
        <v>-0.34114808544972602</v>
      </c>
      <c r="CR134" s="5">
        <v>0.37989862499108601</v>
      </c>
      <c r="CS134" s="5">
        <v>-0.232563027879927</v>
      </c>
      <c r="CT134" s="5">
        <v>0.18938935745804999</v>
      </c>
      <c r="CU134" s="5">
        <v>-0.200002738239692</v>
      </c>
      <c r="CV134" s="5">
        <v>0.59038774126787696</v>
      </c>
      <c r="CW134" s="5">
        <v>-0.42390551134010301</v>
      </c>
      <c r="CX134" s="5">
        <v>0.59169370782108599</v>
      </c>
      <c r="CY134" s="5">
        <v>-0.36424179167825099</v>
      </c>
      <c r="CZ134" s="5">
        <v>0.63015259340290797</v>
      </c>
      <c r="DA134" s="5">
        <v>-0.45314548659694198</v>
      </c>
      <c r="DB134" s="5">
        <v>0.47436350106571001</v>
      </c>
      <c r="DC134" s="5">
        <v>-0.173722423883999</v>
      </c>
      <c r="DD134" s="5">
        <v>0.56712796569088597</v>
      </c>
      <c r="DE134" s="5">
        <v>-0.29836608638979001</v>
      </c>
      <c r="DF134" s="5">
        <v>0.40708611795394001</v>
      </c>
      <c r="DG134" s="5">
        <v>-0.189732015352478</v>
      </c>
      <c r="DH134" s="5">
        <v>0.26847830609538398</v>
      </c>
      <c r="DI134" s="5">
        <v>-6.3833887112395904E-2</v>
      </c>
      <c r="DJ134" s="5">
        <v>6.92077017518581E-2</v>
      </c>
      <c r="DK134" s="5">
        <v>-0.103557435876537</v>
      </c>
      <c r="DL134" s="5">
        <v>0.59884119369923805</v>
      </c>
      <c r="DM134" s="5">
        <v>-0.32851405691057001</v>
      </c>
      <c r="DN134" s="5">
        <v>2.62234836105044E-3</v>
      </c>
      <c r="DO134" s="5">
        <v>-8.08706752849494E-2</v>
      </c>
      <c r="DP134" s="5">
        <v>0.31543693554223701</v>
      </c>
      <c r="DQ134" s="5">
        <v>-5.6421523181809603E-2</v>
      </c>
      <c r="DR134" s="5">
        <v>0.17651916106063001</v>
      </c>
      <c r="DS134" s="5">
        <v>-5.1575226183140102E-2</v>
      </c>
      <c r="DT134" s="5">
        <v>0.26773165106033803</v>
      </c>
      <c r="DU134" s="5">
        <v>-0.118433718301757</v>
      </c>
      <c r="DV134" s="5">
        <v>0.68878984090520801</v>
      </c>
      <c r="DW134" s="5">
        <v>-0.51269680205766699</v>
      </c>
      <c r="DX134" s="5">
        <v>6.2984182154292204E-2</v>
      </c>
      <c r="DY134" s="5">
        <v>-4.1692308289385402E-2</v>
      </c>
      <c r="DZ134" s="5">
        <v>-2.2953222021317301E-2</v>
      </c>
      <c r="EA134" s="5">
        <v>3.5660819307848902E-2</v>
      </c>
      <c r="EB134" s="5">
        <v>0.80291419739355496</v>
      </c>
      <c r="EC134" s="5">
        <v>-0.56572085257521798</v>
      </c>
      <c r="ED134" s="5">
        <v>1</v>
      </c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</row>
    <row r="135" spans="1:389" x14ac:dyDescent="0.45">
      <c r="A135" s="4" t="str">
        <f ca="1">"GIN / beta2dist in "&amp;CELL("address",'damages-1990'!$K$68)</f>
        <v>GIN / beta2dist in '[BHM betas v3pd.xlsx]damages-1990'!$K$68</v>
      </c>
      <c r="B135" s="6">
        <v>-0.126200502529458</v>
      </c>
      <c r="C135" s="5">
        <v>0.253997056816188</v>
      </c>
      <c r="D135" s="5">
        <v>-0.34269875344686102</v>
      </c>
      <c r="E135" s="5">
        <v>0.62286795821520702</v>
      </c>
      <c r="F135" s="5">
        <v>-4.0169319571591797E-2</v>
      </c>
      <c r="G135" s="5">
        <v>7.4849786701812707E-2</v>
      </c>
      <c r="H135" s="5">
        <v>3.1248562400772899E-4</v>
      </c>
      <c r="I135" s="5">
        <v>-7.8605547975451703E-2</v>
      </c>
      <c r="J135" s="5">
        <v>-0.34830217038580602</v>
      </c>
      <c r="K135" s="5">
        <v>0.56020263367364698</v>
      </c>
      <c r="L135" s="5">
        <v>-0.112339181782749</v>
      </c>
      <c r="M135" s="5">
        <v>0.19193604859269101</v>
      </c>
      <c r="N135" s="5">
        <v>7.7746272155596902E-2</v>
      </c>
      <c r="O135" s="5">
        <v>-9.7186424050537595E-2</v>
      </c>
      <c r="P135" s="5">
        <v>-0.41379432028298502</v>
      </c>
      <c r="Q135" s="5">
        <v>0.56210426273334901</v>
      </c>
      <c r="R135" s="5">
        <v>-0.27706206450045001</v>
      </c>
      <c r="S135" s="5">
        <v>0.56105733157705595</v>
      </c>
      <c r="T135" s="5">
        <v>-0.22540280953636299</v>
      </c>
      <c r="U135" s="5">
        <v>0.24743208313676501</v>
      </c>
      <c r="V135" s="5">
        <v>4.84389095352925E-2</v>
      </c>
      <c r="W135" s="5">
        <v>-9.4164494040138394E-2</v>
      </c>
      <c r="X135" s="5">
        <v>-0.37547002507883998</v>
      </c>
      <c r="Y135" s="5">
        <v>0.61982572411211401</v>
      </c>
      <c r="Z135" s="5">
        <v>-0.12240286966950099</v>
      </c>
      <c r="AA135" s="5">
        <v>0.154819640388109</v>
      </c>
      <c r="AB135" s="5">
        <v>-0.44562068777856301</v>
      </c>
      <c r="AC135" s="5">
        <v>0.73024115655292399</v>
      </c>
      <c r="AD135" s="5">
        <v>-0.50979344462757603</v>
      </c>
      <c r="AE135" s="5">
        <v>0.73615264642457101</v>
      </c>
      <c r="AF135" s="5">
        <v>-0.1119937914599</v>
      </c>
      <c r="AG135" s="5">
        <v>0.34198911037294699</v>
      </c>
      <c r="AH135" s="5">
        <v>-4.1554012454242797E-2</v>
      </c>
      <c r="AI135" s="5">
        <v>7.3112470702853899E-2</v>
      </c>
      <c r="AJ135" s="5">
        <v>-0.30828122920694601</v>
      </c>
      <c r="AK135" s="5">
        <v>0.48563302240024497</v>
      </c>
      <c r="AL135" s="5">
        <v>0.141407943323232</v>
      </c>
      <c r="AM135" s="5">
        <v>-7.6942555971978896E-2</v>
      </c>
      <c r="AN135" s="5">
        <v>-0.16037049340694801</v>
      </c>
      <c r="AO135" s="5">
        <v>0.199554897344252</v>
      </c>
      <c r="AP135" s="5">
        <v>-0.189992306446267</v>
      </c>
      <c r="AQ135" s="5">
        <v>0.22797550287919699</v>
      </c>
      <c r="AR135" s="5">
        <v>-0.13713446471065499</v>
      </c>
      <c r="AS135" s="5">
        <v>0.32192974762663301</v>
      </c>
      <c r="AT135" s="5">
        <v>0.222919706264187</v>
      </c>
      <c r="AU135" s="5">
        <v>-0.188575753269736</v>
      </c>
      <c r="AV135" s="5">
        <v>-0.157333941551276</v>
      </c>
      <c r="AW135" s="5">
        <v>0.48022145227226598</v>
      </c>
      <c r="AX135" s="5">
        <v>-0.26214929700085798</v>
      </c>
      <c r="AY135" s="5">
        <v>0.60730141531419701</v>
      </c>
      <c r="AZ135" s="5">
        <v>-0.44496137577422701</v>
      </c>
      <c r="BA135" s="5">
        <v>0.60869406221673195</v>
      </c>
      <c r="BB135" s="5">
        <v>-0.20792035380256699</v>
      </c>
      <c r="BC135" s="5">
        <v>0.46416558588878498</v>
      </c>
      <c r="BD135" s="5">
        <v>-8.0523321758349295E-2</v>
      </c>
      <c r="BE135" s="5">
        <v>0.16121838253450699</v>
      </c>
      <c r="BF135" s="5">
        <v>-0.246670671801445</v>
      </c>
      <c r="BG135" s="5">
        <v>0.45768128063229202</v>
      </c>
      <c r="BH135" s="5">
        <v>-0.44471804510250901</v>
      </c>
      <c r="BI135" s="5">
        <v>0.76240074842522199</v>
      </c>
      <c r="BJ135" s="5">
        <v>-4.0817133619241802E-2</v>
      </c>
      <c r="BK135" s="5">
        <v>-0.15223305746073701</v>
      </c>
      <c r="BL135" s="5">
        <v>-0.22591992343070899</v>
      </c>
      <c r="BM135" s="5">
        <v>0.21361335353001501</v>
      </c>
      <c r="BN135" s="5">
        <v>8.0209026298114106E-2</v>
      </c>
      <c r="BO135" s="5">
        <v>-0.174513356386783</v>
      </c>
      <c r="BP135" s="5">
        <v>8.1708674485812399E-2</v>
      </c>
      <c r="BQ135" s="5">
        <v>-0.24517581686260301</v>
      </c>
      <c r="BR135" s="5">
        <v>-0.59898662772821498</v>
      </c>
      <c r="BS135" s="5">
        <v>0.84063904731660199</v>
      </c>
      <c r="BT135" s="5">
        <v>-0.40407161790157797</v>
      </c>
      <c r="BU135" s="5">
        <v>0.77479306004578696</v>
      </c>
      <c r="BV135" s="5">
        <v>-0.406420848886002</v>
      </c>
      <c r="BW135" s="5">
        <v>0.71023121202838402</v>
      </c>
      <c r="BX135" s="5">
        <v>-0.38964445572616402</v>
      </c>
      <c r="BY135" s="5">
        <v>0.69781133396216299</v>
      </c>
      <c r="BZ135" s="5">
        <v>-0.39103961333710502</v>
      </c>
      <c r="CA135" s="5">
        <v>0.67586817875620597</v>
      </c>
      <c r="CB135" s="5">
        <v>-6.9721580322472096E-2</v>
      </c>
      <c r="CC135" s="5">
        <v>0.29769269234127399</v>
      </c>
      <c r="CD135" s="5">
        <v>-0.14678076585695499</v>
      </c>
      <c r="CE135" s="5">
        <v>0.300842456168811</v>
      </c>
      <c r="CF135" s="5">
        <v>-0.38954602076600198</v>
      </c>
      <c r="CG135" s="5">
        <v>0.572974361964807</v>
      </c>
      <c r="CH135" s="5">
        <v>0.15015867953738499</v>
      </c>
      <c r="CI135" s="5">
        <v>-7.5401213191994498E-2</v>
      </c>
      <c r="CJ135" s="5">
        <v>8.7588139788588301E-2</v>
      </c>
      <c r="CK135" s="5">
        <v>-6.1190216273209801E-2</v>
      </c>
      <c r="CL135" s="5">
        <v>-0.16980471261740099</v>
      </c>
      <c r="CM135" s="5">
        <v>0.20138611316133301</v>
      </c>
      <c r="CN135" s="5">
        <v>-0.15042883521025399</v>
      </c>
      <c r="CO135" s="5">
        <v>0.17674425975795899</v>
      </c>
      <c r="CP135" s="5">
        <v>-0.55862706037590304</v>
      </c>
      <c r="CQ135" s="5">
        <v>0.68295435710427899</v>
      </c>
      <c r="CR135" s="5">
        <v>-0.377039576300642</v>
      </c>
      <c r="CS135" s="5">
        <v>0.53775683194273505</v>
      </c>
      <c r="CT135" s="5">
        <v>-0.224930635312416</v>
      </c>
      <c r="CU135" s="5">
        <v>0.26365508349619099</v>
      </c>
      <c r="CV135" s="5">
        <v>-0.406894228407151</v>
      </c>
      <c r="CW135" s="5">
        <v>0.56546249415483596</v>
      </c>
      <c r="CX135" s="5">
        <v>-0.31426468887655301</v>
      </c>
      <c r="CY135" s="5">
        <v>0.54374970292822999</v>
      </c>
      <c r="CZ135" s="5">
        <v>-0.34564875072781698</v>
      </c>
      <c r="DA135" s="5">
        <v>0.59727661847298097</v>
      </c>
      <c r="DB135" s="5">
        <v>-0.151050601474502</v>
      </c>
      <c r="DC135" s="5">
        <v>0.263862329237944</v>
      </c>
      <c r="DD135" s="5">
        <v>-0.47548189144111802</v>
      </c>
      <c r="DE135" s="5">
        <v>0.628159450122178</v>
      </c>
      <c r="DF135" s="5">
        <v>-0.27726407117913798</v>
      </c>
      <c r="DG135" s="5">
        <v>0.47192277438763602</v>
      </c>
      <c r="DH135" s="5">
        <v>-0.14827560199597301</v>
      </c>
      <c r="DI135" s="5">
        <v>0.30520281182728198</v>
      </c>
      <c r="DJ135" s="5">
        <v>-0.22237790664658899</v>
      </c>
      <c r="DK135" s="5">
        <v>0.25609296688789501</v>
      </c>
      <c r="DL135" s="5">
        <v>-0.40297293848825999</v>
      </c>
      <c r="DM135" s="5">
        <v>0.64956268125355898</v>
      </c>
      <c r="DN135" s="5">
        <v>-0.20741183593208901</v>
      </c>
      <c r="DO135" s="5">
        <v>0.22610730385629399</v>
      </c>
      <c r="DP135" s="5">
        <v>0.13170033411628501</v>
      </c>
      <c r="DQ135" s="5">
        <v>-8.9217612067808094E-2</v>
      </c>
      <c r="DR135" s="5">
        <v>-0.105001924031353</v>
      </c>
      <c r="DS135" s="5">
        <v>0.167931955831849</v>
      </c>
      <c r="DT135" s="5">
        <v>-0.21185438989279401</v>
      </c>
      <c r="DU135" s="5">
        <v>0.29516004013492902</v>
      </c>
      <c r="DV135" s="5">
        <v>-0.37468780342939501</v>
      </c>
      <c r="DW135" s="5">
        <v>0.62014714754124201</v>
      </c>
      <c r="DX135" s="5">
        <v>-9.8652995559487602E-2</v>
      </c>
      <c r="DY135" s="5">
        <v>0.12363636484606599</v>
      </c>
      <c r="DZ135" s="5">
        <v>-8.5312276141282504E-4</v>
      </c>
      <c r="EA135" s="5">
        <v>3.3221307901680097E-2</v>
      </c>
      <c r="EB135" s="5">
        <v>-0.57655060165372995</v>
      </c>
      <c r="EC135" s="5">
        <v>0.82068648678237099</v>
      </c>
      <c r="ED135" s="5">
        <v>-0.73927850811389095</v>
      </c>
      <c r="EE135" s="5">
        <v>1</v>
      </c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</row>
    <row r="136" spans="1:389" x14ac:dyDescent="0.45">
      <c r="A136" s="4" t="str">
        <f ca="1">"GLP / beta1dist in "&amp;CELL("address",'damages-1990'!$J$69)</f>
        <v>GLP / beta1dist in '[BHM betas v3pd.xlsx]damages-1990'!$J$69</v>
      </c>
      <c r="B136" s="6">
        <v>0.137556187803684</v>
      </c>
      <c r="C136" s="5">
        <v>-2.6669272377448502E-3</v>
      </c>
      <c r="D136" s="5">
        <v>0.43700808363804999</v>
      </c>
      <c r="E136" s="5">
        <v>-0.43577013950023902</v>
      </c>
      <c r="F136" s="5">
        <v>7.3747663489649506E-2</v>
      </c>
      <c r="G136" s="5">
        <v>6.4639660730207202E-2</v>
      </c>
      <c r="H136" s="5">
        <v>-7.82645694094488E-2</v>
      </c>
      <c r="I136" s="5">
        <v>8.4842903840903705E-2</v>
      </c>
      <c r="J136" s="5">
        <v>0.23638183167656801</v>
      </c>
      <c r="K136" s="5">
        <v>-0.137480036360313</v>
      </c>
      <c r="L136" s="5">
        <v>2.22389153451788E-2</v>
      </c>
      <c r="M136" s="5">
        <v>0.186011061837278</v>
      </c>
      <c r="N136" s="5">
        <v>0.172754504763941</v>
      </c>
      <c r="O136" s="5">
        <v>-0.22895867150928401</v>
      </c>
      <c r="P136" s="5">
        <v>0.89968185821494095</v>
      </c>
      <c r="Q136" s="5">
        <v>-0.79673513084452596</v>
      </c>
      <c r="R136" s="5">
        <v>0.210402171181757</v>
      </c>
      <c r="S136" s="5">
        <v>-0.220559901468175</v>
      </c>
      <c r="T136" s="5">
        <v>0.22287207600366499</v>
      </c>
      <c r="U136" s="5">
        <v>-0.273969493503739</v>
      </c>
      <c r="V136" s="5">
        <v>9.8018176498113396E-2</v>
      </c>
      <c r="W136" s="5">
        <v>8.1349709753437E-2</v>
      </c>
      <c r="X136" s="5">
        <v>0.45369465434103301</v>
      </c>
      <c r="Y136" s="5">
        <v>-0.40507323553336799</v>
      </c>
      <c r="Z136" s="5">
        <v>0.13272392969338401</v>
      </c>
      <c r="AA136" s="5">
        <v>-0.10130753895731601</v>
      </c>
      <c r="AB136" s="5">
        <v>0.38116580753666801</v>
      </c>
      <c r="AC136" s="5">
        <v>-0.455898290124505</v>
      </c>
      <c r="AD136" s="5">
        <v>0.36758269017130302</v>
      </c>
      <c r="AE136" s="5">
        <v>-0.41469610081495001</v>
      </c>
      <c r="AF136" s="5">
        <v>0.218266929223909</v>
      </c>
      <c r="AG136" s="5">
        <v>-0.17531021469449201</v>
      </c>
      <c r="AH136" s="5">
        <v>0.107241533857556</v>
      </c>
      <c r="AI136" s="5">
        <v>-1.4391237102011499E-2</v>
      </c>
      <c r="AJ136" s="5">
        <v>0.173297403675571</v>
      </c>
      <c r="AK136" s="5">
        <v>-3.8318079865109697E-2</v>
      </c>
      <c r="AL136" s="5">
        <v>6.18759371742121E-3</v>
      </c>
      <c r="AM136" s="5">
        <v>0.10292129160447699</v>
      </c>
      <c r="AN136" s="5">
        <v>0.193476419345645</v>
      </c>
      <c r="AO136" s="5">
        <v>-0.19874394777593901</v>
      </c>
      <c r="AP136" s="5">
        <v>-4.1132859560732503E-2</v>
      </c>
      <c r="AQ136" s="5">
        <v>1.9447667140486399E-2</v>
      </c>
      <c r="AR136" s="5">
        <v>0.19139423250283899</v>
      </c>
      <c r="AS136" s="5">
        <v>-0.137349861291541</v>
      </c>
      <c r="AT136" s="5">
        <v>-0.15539647780693999</v>
      </c>
      <c r="AU136" s="5">
        <v>0.26754037851516699</v>
      </c>
      <c r="AV136" s="5">
        <v>0.28858094130781098</v>
      </c>
      <c r="AW136" s="5">
        <v>-0.35828247653976297</v>
      </c>
      <c r="AX136" s="5">
        <v>0.35423832633215002</v>
      </c>
      <c r="AY136" s="5">
        <v>-0.42793537822619199</v>
      </c>
      <c r="AZ136" s="5">
        <v>0.75416841125345802</v>
      </c>
      <c r="BA136" s="5">
        <v>-0.65444106541679503</v>
      </c>
      <c r="BB136" s="5">
        <v>0.23012261575113399</v>
      </c>
      <c r="BC136" s="5">
        <v>-0.225155975054705</v>
      </c>
      <c r="BD136" s="5">
        <v>5.4353373098788398E-2</v>
      </c>
      <c r="BE136" s="5">
        <v>7.9888690621238503E-2</v>
      </c>
      <c r="BF136" s="5">
        <v>0.43799251996536998</v>
      </c>
      <c r="BG136" s="5">
        <v>-0.42128058297321902</v>
      </c>
      <c r="BH136" s="5">
        <v>0.45870087545576799</v>
      </c>
      <c r="BI136" s="5">
        <v>-0.50005502516850198</v>
      </c>
      <c r="BJ136" s="5">
        <v>-0.108242208142187</v>
      </c>
      <c r="BK136" s="5">
        <v>0.123216000759785</v>
      </c>
      <c r="BL136" s="5">
        <v>0.20179938044373599</v>
      </c>
      <c r="BM136" s="5">
        <v>-0.25686530396155499</v>
      </c>
      <c r="BN136" s="5">
        <v>0.102622617800649</v>
      </c>
      <c r="BO136" s="5">
        <v>-6.1895693388085003E-2</v>
      </c>
      <c r="BP136" s="5">
        <v>-0.11902839717311101</v>
      </c>
      <c r="BQ136" s="5">
        <v>0.28974703134021701</v>
      </c>
      <c r="BR136" s="5">
        <v>0.428030877695599</v>
      </c>
      <c r="BS136" s="5">
        <v>-0.46843546384819501</v>
      </c>
      <c r="BT136" s="5">
        <v>0.40490620460028298</v>
      </c>
      <c r="BU136" s="5">
        <v>-0.45823289325626398</v>
      </c>
      <c r="BV136" s="5">
        <v>0.34043967514487899</v>
      </c>
      <c r="BW136" s="5">
        <v>-0.34662110802792701</v>
      </c>
      <c r="BX136" s="5">
        <v>0.26577391593866401</v>
      </c>
      <c r="BY136" s="5">
        <v>-0.295457028715225</v>
      </c>
      <c r="BZ136" s="5">
        <v>0.353419188480736</v>
      </c>
      <c r="CA136" s="5">
        <v>-0.42780277989946702</v>
      </c>
      <c r="CB136" s="5">
        <v>0.23846493822713699</v>
      </c>
      <c r="CC136" s="5">
        <v>-0.28936960754475299</v>
      </c>
      <c r="CD136" s="5">
        <v>0.45560087778453801</v>
      </c>
      <c r="CE136" s="5">
        <v>-0.46929448139281899</v>
      </c>
      <c r="CF136" s="5">
        <v>0.55834310687022704</v>
      </c>
      <c r="CG136" s="5">
        <v>-0.53412343436069099</v>
      </c>
      <c r="CH136" s="5">
        <v>-1.6319587526539701E-2</v>
      </c>
      <c r="CI136" s="5">
        <v>8.9875243385999601E-2</v>
      </c>
      <c r="CJ136" s="5">
        <v>3.2625465886400203E-2</v>
      </c>
      <c r="CK136" s="5">
        <v>0.15996217178382099</v>
      </c>
      <c r="CL136" s="5">
        <v>0.16236489050883501</v>
      </c>
      <c r="CM136" s="5">
        <v>-0.17815780945078899</v>
      </c>
      <c r="CN136" s="5">
        <v>0.12519152344062101</v>
      </c>
      <c r="CO136" s="5">
        <v>-0.10977013140874101</v>
      </c>
      <c r="CP136" s="5">
        <v>0.304280985761199</v>
      </c>
      <c r="CQ136" s="5">
        <v>-0.28809138322987898</v>
      </c>
      <c r="CR136" s="5">
        <v>0.90941354835527499</v>
      </c>
      <c r="CS136" s="5">
        <v>-0.79291983152369605</v>
      </c>
      <c r="CT136" s="5">
        <v>7.4029842977403407E-2</v>
      </c>
      <c r="CU136" s="5">
        <v>-5.5580602393337203E-2</v>
      </c>
      <c r="CV136" s="5">
        <v>0.54113313618243997</v>
      </c>
      <c r="CW136" s="5">
        <v>-0.42660191076926401</v>
      </c>
      <c r="CX136" s="5">
        <v>0.22590900225490301</v>
      </c>
      <c r="CY136" s="5">
        <v>-0.13790671039555699</v>
      </c>
      <c r="CZ136" s="5">
        <v>0.44362435312411402</v>
      </c>
      <c r="DA136" s="5">
        <v>-0.50637179925605003</v>
      </c>
      <c r="DB136" s="5">
        <v>0.236616501188045</v>
      </c>
      <c r="DC136" s="5">
        <v>-2.7183311395400801E-2</v>
      </c>
      <c r="DD136" s="5">
        <v>0.40027992038085197</v>
      </c>
      <c r="DE136" s="5">
        <v>-0.35072164817354301</v>
      </c>
      <c r="DF136" s="5">
        <v>0.41799853558766198</v>
      </c>
      <c r="DG136" s="5">
        <v>-0.37750194598387499</v>
      </c>
      <c r="DH136" s="5">
        <v>0.22346949362040799</v>
      </c>
      <c r="DI136" s="5">
        <v>-0.135460121711722</v>
      </c>
      <c r="DJ136" s="5">
        <v>-7.6142416807227206E-2</v>
      </c>
      <c r="DK136" s="5">
        <v>6.1889894472366903E-2</v>
      </c>
      <c r="DL136" s="5">
        <v>0.41702833185538701</v>
      </c>
      <c r="DM136" s="5">
        <v>-0.39472714980636397</v>
      </c>
      <c r="DN136" s="5">
        <v>-8.9798993119284298E-2</v>
      </c>
      <c r="DO136" s="5">
        <v>7.4329054683882401E-2</v>
      </c>
      <c r="DP136" s="5">
        <v>-0.27028436162283398</v>
      </c>
      <c r="DQ136" s="5">
        <v>0.40062236880797703</v>
      </c>
      <c r="DR136" s="5">
        <v>0.134130302573679</v>
      </c>
      <c r="DS136" s="5">
        <v>-8.34079952968525E-2</v>
      </c>
      <c r="DT136" s="5">
        <v>8.5742960169443203E-2</v>
      </c>
      <c r="DU136" s="5">
        <v>-5.7467604135414498E-2</v>
      </c>
      <c r="DV136" s="5">
        <v>0.27685607457928502</v>
      </c>
      <c r="DW136" s="5">
        <v>-0.30213685984674199</v>
      </c>
      <c r="DX136" s="5">
        <v>5.6315484991463398E-3</v>
      </c>
      <c r="DY136" s="5">
        <v>2.4185418407038601E-2</v>
      </c>
      <c r="DZ136" s="5">
        <v>0.13204745608038901</v>
      </c>
      <c r="EA136" s="5">
        <v>-0.19648005173059099</v>
      </c>
      <c r="EB136" s="5">
        <v>0.46096622857011199</v>
      </c>
      <c r="EC136" s="5">
        <v>-0.47824325285591601</v>
      </c>
      <c r="ED136" s="5">
        <v>0.383507248464656</v>
      </c>
      <c r="EE136" s="5">
        <v>-0.41416284971268902</v>
      </c>
      <c r="EF136" s="5">
        <v>1</v>
      </c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</row>
    <row r="137" spans="1:389" x14ac:dyDescent="0.45">
      <c r="A137" s="4" t="str">
        <f ca="1">"GLP / beta2dist in "&amp;CELL("address",'damages-1990'!$K$69)</f>
        <v>GLP / beta2dist in '[BHM betas v3pd.xlsx]damages-1990'!$K$69</v>
      </c>
      <c r="B137" s="6">
        <v>-3.01754771582999E-2</v>
      </c>
      <c r="C137" s="5">
        <v>0.15687263635551801</v>
      </c>
      <c r="D137" s="5">
        <v>-0.22635995398216699</v>
      </c>
      <c r="E137" s="5">
        <v>0.52681452298238296</v>
      </c>
      <c r="F137" s="5">
        <v>2.2962975817631501E-2</v>
      </c>
      <c r="G137" s="5">
        <v>-3.4263269249977702E-3</v>
      </c>
      <c r="H137" s="5">
        <v>1.5357808568365199E-2</v>
      </c>
      <c r="I137" s="5">
        <v>-5.4941813646504301E-2</v>
      </c>
      <c r="J137" s="5">
        <v>-5.7281567421815401E-2</v>
      </c>
      <c r="K137" s="5">
        <v>0.23671773986735301</v>
      </c>
      <c r="L137" s="5">
        <v>0.16202381230437901</v>
      </c>
      <c r="M137" s="5">
        <v>-0.14536079862666201</v>
      </c>
      <c r="N137" s="5">
        <v>-0.14428133053860101</v>
      </c>
      <c r="O137" s="5">
        <v>0.19814520026967899</v>
      </c>
      <c r="P137" s="5">
        <v>-0.76558800281565298</v>
      </c>
      <c r="Q137" s="5">
        <v>0.90381340708561897</v>
      </c>
      <c r="R137" s="5">
        <v>-1.45871374041416E-2</v>
      </c>
      <c r="S137" s="5">
        <v>0.313064320560618</v>
      </c>
      <c r="T137" s="5">
        <v>-0.31508671039870001</v>
      </c>
      <c r="U137" s="5">
        <v>0.37364660649859899</v>
      </c>
      <c r="V137" s="5">
        <v>2.7001888096620699E-2</v>
      </c>
      <c r="W137" s="5">
        <v>2.5840842969545901E-2</v>
      </c>
      <c r="X137" s="5">
        <v>-0.25905198287403097</v>
      </c>
      <c r="Y137" s="5">
        <v>0.494078935808419</v>
      </c>
      <c r="Z137" s="5">
        <v>-0.13399756173150801</v>
      </c>
      <c r="AA137" s="5">
        <v>0.16958498417151199</v>
      </c>
      <c r="AB137" s="5">
        <v>-0.25365717984372799</v>
      </c>
      <c r="AC137" s="5">
        <v>0.572803212238848</v>
      </c>
      <c r="AD137" s="5">
        <v>-0.26195135488683402</v>
      </c>
      <c r="AE137" s="5">
        <v>0.56045204643578606</v>
      </c>
      <c r="AF137" s="5">
        <v>-8.6968668128140802E-2</v>
      </c>
      <c r="AG137" s="5">
        <v>0.29291052300067899</v>
      </c>
      <c r="AH137" s="5">
        <v>-3.9242176449201902E-2</v>
      </c>
      <c r="AI137" s="5">
        <v>7.8959271358273506E-2</v>
      </c>
      <c r="AJ137" s="5">
        <v>-4.36534541472667E-2</v>
      </c>
      <c r="AK137" s="5">
        <v>0.17146333604974401</v>
      </c>
      <c r="AL137" s="5">
        <v>0.25330030925438202</v>
      </c>
      <c r="AM137" s="5">
        <v>-0.23422431158338899</v>
      </c>
      <c r="AN137" s="5">
        <v>-0.215697956656902</v>
      </c>
      <c r="AO137" s="5">
        <v>0.30444326800765797</v>
      </c>
      <c r="AP137" s="5">
        <v>-0.109612517073557</v>
      </c>
      <c r="AQ137" s="5">
        <v>0.15624435407982801</v>
      </c>
      <c r="AR137" s="5">
        <v>-1.8594534579099199E-2</v>
      </c>
      <c r="AS137" s="5">
        <v>0.19011560787224399</v>
      </c>
      <c r="AT137" s="5">
        <v>0.36435723709308399</v>
      </c>
      <c r="AU137" s="5">
        <v>-0.37139417082452802</v>
      </c>
      <c r="AV137" s="5">
        <v>-7.1048214849021504E-2</v>
      </c>
      <c r="AW137" s="5">
        <v>0.43867163056914699</v>
      </c>
      <c r="AX137" s="5">
        <v>-0.156700813006352</v>
      </c>
      <c r="AY137" s="5">
        <v>0.52261855780848598</v>
      </c>
      <c r="AZ137" s="5">
        <v>-0.64156389109923995</v>
      </c>
      <c r="BA137" s="5">
        <v>0.774354139838065</v>
      </c>
      <c r="BB137" s="5">
        <v>-3.54712408158794E-2</v>
      </c>
      <c r="BC137" s="5">
        <v>0.33782563776869301</v>
      </c>
      <c r="BD137" s="5">
        <v>-6.9051706015105501E-3</v>
      </c>
      <c r="BE137" s="5">
        <v>0.10189973670873501</v>
      </c>
      <c r="BF137" s="5">
        <v>-0.30435253223479902</v>
      </c>
      <c r="BG137" s="5">
        <v>0.53349896169468503</v>
      </c>
      <c r="BH137" s="5">
        <v>-0.27564661767306498</v>
      </c>
      <c r="BI137" s="5">
        <v>0.61820544815849798</v>
      </c>
      <c r="BJ137" s="5">
        <v>-9.8085225225254494E-2</v>
      </c>
      <c r="BK137" s="5">
        <v>-3.6437373953569101E-2</v>
      </c>
      <c r="BL137" s="5">
        <v>-0.287876990900995</v>
      </c>
      <c r="BM137" s="5">
        <v>0.32872189243315703</v>
      </c>
      <c r="BN137" s="5">
        <v>-0.107811961827238</v>
      </c>
      <c r="BO137" s="5">
        <v>9.4935341727672706E-2</v>
      </c>
      <c r="BP137" s="5">
        <v>6.5196345849650394E-2</v>
      </c>
      <c r="BQ137" s="5">
        <v>-0.209272170337584</v>
      </c>
      <c r="BR137" s="5">
        <v>-0.33869586897704501</v>
      </c>
      <c r="BS137" s="5">
        <v>0.62627275800111704</v>
      </c>
      <c r="BT137" s="5">
        <v>-0.20383095470329701</v>
      </c>
      <c r="BU137" s="5">
        <v>0.56781323114038296</v>
      </c>
      <c r="BV137" s="5">
        <v>-0.13766639744355399</v>
      </c>
      <c r="BW137" s="5">
        <v>0.44597808948416301</v>
      </c>
      <c r="BX137" s="5">
        <v>-8.3461707801460699E-2</v>
      </c>
      <c r="BY137" s="5">
        <v>0.39407480208700002</v>
      </c>
      <c r="BZ137" s="5">
        <v>-0.17880035833162899</v>
      </c>
      <c r="CA137" s="5">
        <v>0.51821806541892301</v>
      </c>
      <c r="CB137" s="5">
        <v>-4.5340564306375099E-2</v>
      </c>
      <c r="CC137" s="5">
        <v>0.30526245455610201</v>
      </c>
      <c r="CD137" s="5">
        <v>-0.25126385674291402</v>
      </c>
      <c r="CE137" s="5">
        <v>0.44423120622017398</v>
      </c>
      <c r="CF137" s="5">
        <v>-0.44147367192780901</v>
      </c>
      <c r="CG137" s="5">
        <v>0.62475757133406895</v>
      </c>
      <c r="CH137" s="5">
        <v>0.26106901557414203</v>
      </c>
      <c r="CI137" s="5">
        <v>-0.20827544184131999</v>
      </c>
      <c r="CJ137" s="5">
        <v>8.9269026000598703E-2</v>
      </c>
      <c r="CK137" s="5">
        <v>-0.122917557045208</v>
      </c>
      <c r="CL137" s="5">
        <v>-0.22565169787515499</v>
      </c>
      <c r="CM137" s="5">
        <v>0.27533026916522102</v>
      </c>
      <c r="CN137" s="5">
        <v>-0.162191207307399</v>
      </c>
      <c r="CO137" s="5">
        <v>0.196381641827821</v>
      </c>
      <c r="CP137" s="5">
        <v>-0.30546355829717597</v>
      </c>
      <c r="CQ137" s="5">
        <v>0.47883990774850699</v>
      </c>
      <c r="CR137" s="5">
        <v>-0.77085962042154699</v>
      </c>
      <c r="CS137" s="5">
        <v>0.91106617752606001</v>
      </c>
      <c r="CT137" s="5">
        <v>-0.136618213307758</v>
      </c>
      <c r="CU137" s="5">
        <v>0.14915753907468701</v>
      </c>
      <c r="CV137" s="5">
        <v>-0.39431310319372198</v>
      </c>
      <c r="CW137" s="5">
        <v>0.516414573723046</v>
      </c>
      <c r="CX137" s="5">
        <v>-5.6440950977058403E-2</v>
      </c>
      <c r="CY137" s="5">
        <v>0.241852759179986</v>
      </c>
      <c r="CZ137" s="5">
        <v>-0.25727836247103197</v>
      </c>
      <c r="DA137" s="5">
        <v>0.55607736516652495</v>
      </c>
      <c r="DB137" s="5">
        <v>-1.8215685448646299E-2</v>
      </c>
      <c r="DC137" s="5">
        <v>8.8377741688111994E-2</v>
      </c>
      <c r="DD137" s="5">
        <v>-0.35894238948926199</v>
      </c>
      <c r="DE137" s="5">
        <v>0.54514595797163601</v>
      </c>
      <c r="DF137" s="5">
        <v>-0.22897000151851399</v>
      </c>
      <c r="DG137" s="5">
        <v>0.42274702384876101</v>
      </c>
      <c r="DH137" s="5">
        <v>-9.8882058052977201E-2</v>
      </c>
      <c r="DI137" s="5">
        <v>0.229783306752843</v>
      </c>
      <c r="DJ137" s="5">
        <v>-8.3572137720360706E-2</v>
      </c>
      <c r="DK137" s="5">
        <v>0.109200253476307</v>
      </c>
      <c r="DL137" s="5">
        <v>-0.26864249989272698</v>
      </c>
      <c r="DM137" s="5">
        <v>0.53541279371317196</v>
      </c>
      <c r="DN137" s="5">
        <v>-9.2306708968465906E-2</v>
      </c>
      <c r="DO137" s="5">
        <v>9.7416703936005794E-2</v>
      </c>
      <c r="DP137" s="5">
        <v>0.45199814868787802</v>
      </c>
      <c r="DQ137" s="5">
        <v>-0.40767816922822597</v>
      </c>
      <c r="DR137" s="5">
        <v>-9.0904396406954399E-2</v>
      </c>
      <c r="DS137" s="5">
        <v>0.164381756124589</v>
      </c>
      <c r="DT137" s="5">
        <v>-5.5136531223911302E-2</v>
      </c>
      <c r="DU137" s="5">
        <v>0.15865319259987801</v>
      </c>
      <c r="DV137" s="5">
        <v>-0.11373701611508601</v>
      </c>
      <c r="DW137" s="5">
        <v>0.37415959950155497</v>
      </c>
      <c r="DX137" s="5">
        <v>-5.65465047488454E-2</v>
      </c>
      <c r="DY137" s="5">
        <v>6.6822478323296103E-2</v>
      </c>
      <c r="DZ137" s="5">
        <v>-9.9915663571407506E-2</v>
      </c>
      <c r="EA137" s="5">
        <v>0.18269154121647099</v>
      </c>
      <c r="EB137" s="5">
        <v>-0.34523884000666499</v>
      </c>
      <c r="EC137" s="5">
        <v>0.61699205854608596</v>
      </c>
      <c r="ED137" s="5">
        <v>-0.24358336208466999</v>
      </c>
      <c r="EE137" s="5">
        <v>0.55550398012403002</v>
      </c>
      <c r="EF137" s="5">
        <v>-0.880248118504941</v>
      </c>
      <c r="EG137" s="5">
        <v>1</v>
      </c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</row>
    <row r="138" spans="1:389" x14ac:dyDescent="0.45">
      <c r="A138" s="4" t="str">
        <f ca="1">"GMB / beta1dist in "&amp;CELL("address",'damages-1990'!$J$70)</f>
        <v>GMB / beta1dist in '[BHM betas v3pd.xlsx]damages-1990'!$J$70</v>
      </c>
      <c r="B138" s="6">
        <v>0.28638515775395101</v>
      </c>
      <c r="C138" s="5">
        <v>2.6200562893565101E-2</v>
      </c>
      <c r="D138" s="5">
        <v>0.68741068568208596</v>
      </c>
      <c r="E138" s="5">
        <v>-0.42106603454131902</v>
      </c>
      <c r="F138" s="5">
        <v>0.19952070289109999</v>
      </c>
      <c r="G138" s="5">
        <v>3.9148226471228301E-2</v>
      </c>
      <c r="H138" s="5">
        <v>-0.26337635805916998</v>
      </c>
      <c r="I138" s="5">
        <v>0.279717271749717</v>
      </c>
      <c r="J138" s="5">
        <v>0.62679380630273696</v>
      </c>
      <c r="K138" s="5">
        <v>-0.34512431052811399</v>
      </c>
      <c r="L138" s="5">
        <v>0.360790320615199</v>
      </c>
      <c r="M138" s="5">
        <v>-9.8143283812510591E-3</v>
      </c>
      <c r="N138" s="5">
        <v>-3.6697126812340497E-2</v>
      </c>
      <c r="O138" s="5">
        <v>6.9937912172467795E-2</v>
      </c>
      <c r="P138" s="5">
        <v>0.43428470080246101</v>
      </c>
      <c r="Q138" s="5">
        <v>-0.25492572078697301</v>
      </c>
      <c r="R138" s="5">
        <v>0.515725123159119</v>
      </c>
      <c r="S138" s="5">
        <v>-0.229001333090249</v>
      </c>
      <c r="T138" s="5">
        <v>7.0861061853149096E-2</v>
      </c>
      <c r="U138" s="5">
        <v>-8.18116042661928E-2</v>
      </c>
      <c r="V138" s="5">
        <v>0.24672978094563</v>
      </c>
      <c r="W138" s="5">
        <v>0.11904523139581299</v>
      </c>
      <c r="X138" s="5">
        <v>0.59533807065945699</v>
      </c>
      <c r="Y138" s="5">
        <v>-0.32377133262970598</v>
      </c>
      <c r="Z138" s="5">
        <v>-1.15970365455595E-2</v>
      </c>
      <c r="AA138" s="5">
        <v>0.10670934861914901</v>
      </c>
      <c r="AB138" s="5">
        <v>0.55631784327046996</v>
      </c>
      <c r="AC138" s="5">
        <v>-0.37186486942563501</v>
      </c>
      <c r="AD138" s="5">
        <v>0.62823954409617999</v>
      </c>
      <c r="AE138" s="5">
        <v>-0.39077353027664302</v>
      </c>
      <c r="AF138" s="5">
        <v>0.32230186545432099</v>
      </c>
      <c r="AG138" s="5">
        <v>-7.7222945346382493E-2</v>
      </c>
      <c r="AH138" s="5">
        <v>0.21194170519411601</v>
      </c>
      <c r="AI138" s="5">
        <v>-3.1264004977262103E-2</v>
      </c>
      <c r="AJ138" s="5">
        <v>0.53825379370964599</v>
      </c>
      <c r="AK138" s="5">
        <v>-0.25113666444652699</v>
      </c>
      <c r="AL138" s="5">
        <v>0.19290130384759699</v>
      </c>
      <c r="AM138" s="5">
        <v>-9.6758244195394201E-3</v>
      </c>
      <c r="AN138" s="5">
        <v>0.152888949462405</v>
      </c>
      <c r="AO138" s="5">
        <v>-6.5846559802991006E-2</v>
      </c>
      <c r="AP138" s="5">
        <v>4.4507453966211802E-3</v>
      </c>
      <c r="AQ138" s="5">
        <v>1.1961444360709001E-2</v>
      </c>
      <c r="AR138" s="5">
        <v>0.480877299744914</v>
      </c>
      <c r="AS138" s="5">
        <v>-0.22999004475026499</v>
      </c>
      <c r="AT138" s="5">
        <v>0.16583032430271899</v>
      </c>
      <c r="AU138" s="5">
        <v>-2.0634865191219102E-3</v>
      </c>
      <c r="AV138" s="5">
        <v>0.52731340727787701</v>
      </c>
      <c r="AW138" s="5">
        <v>-0.25119937616821297</v>
      </c>
      <c r="AX138" s="5">
        <v>0.64237109346830101</v>
      </c>
      <c r="AY138" s="5">
        <v>-0.41411789258709902</v>
      </c>
      <c r="AZ138" s="5">
        <v>0.57770447243243095</v>
      </c>
      <c r="BA138" s="5">
        <v>-0.40817251136260901</v>
      </c>
      <c r="BB138" s="5">
        <v>0.56486549566021005</v>
      </c>
      <c r="BC138" s="5">
        <v>-0.29943003386329298</v>
      </c>
      <c r="BD138" s="5">
        <v>0.138618303804386</v>
      </c>
      <c r="BE138" s="5">
        <v>0.16736141092853399</v>
      </c>
      <c r="BF138" s="5">
        <v>0.56297006831749796</v>
      </c>
      <c r="BG138" s="5">
        <v>-0.31535435950755297</v>
      </c>
      <c r="BH138" s="5">
        <v>0.62947574559369002</v>
      </c>
      <c r="BI138" s="5">
        <v>-0.38593726936871903</v>
      </c>
      <c r="BJ138" s="5">
        <v>-0.304555215160909</v>
      </c>
      <c r="BK138" s="5">
        <v>0.27150942563737002</v>
      </c>
      <c r="BL138" s="5">
        <v>1.55285899254774E-2</v>
      </c>
      <c r="BM138" s="5">
        <v>-4.0323379544733098E-2</v>
      </c>
      <c r="BN138" s="5">
        <v>-0.135900580015855</v>
      </c>
      <c r="BO138" s="5">
        <v>0.26650272867771402</v>
      </c>
      <c r="BP138" s="5">
        <v>-0.17207937765725401</v>
      </c>
      <c r="BQ138" s="5">
        <v>0.356306657080046</v>
      </c>
      <c r="BR138" s="5">
        <v>0.61733471962277098</v>
      </c>
      <c r="BS138" s="5">
        <v>-0.42175742003591699</v>
      </c>
      <c r="BT138" s="5">
        <v>0.63916409930072304</v>
      </c>
      <c r="BU138" s="5">
        <v>-0.414372060688729</v>
      </c>
      <c r="BV138" s="5">
        <v>0.63953078936559704</v>
      </c>
      <c r="BW138" s="5">
        <v>-0.39010544437836697</v>
      </c>
      <c r="BX138" s="5">
        <v>0.51063770867313896</v>
      </c>
      <c r="BY138" s="5">
        <v>-0.28978560903864597</v>
      </c>
      <c r="BZ138" s="5">
        <v>0.59667110170562798</v>
      </c>
      <c r="CA138" s="5">
        <v>-0.37555375234097099</v>
      </c>
      <c r="CB138" s="5">
        <v>0.25882896098778302</v>
      </c>
      <c r="CC138" s="5">
        <v>-7.7364786690998805E-2</v>
      </c>
      <c r="CD138" s="5">
        <v>0.47465731967409402</v>
      </c>
      <c r="CE138" s="5">
        <v>-0.33597733471395402</v>
      </c>
      <c r="CF138" s="5">
        <v>0.59930206153016696</v>
      </c>
      <c r="CG138" s="5">
        <v>-0.385057042005434</v>
      </c>
      <c r="CH138" s="5">
        <v>0.13881706454565501</v>
      </c>
      <c r="CI138" s="5">
        <v>3.2592173261391598E-2</v>
      </c>
      <c r="CJ138" s="5">
        <v>8.5805435445658204E-2</v>
      </c>
      <c r="CK138" s="5">
        <v>0.13559562594105701</v>
      </c>
      <c r="CL138" s="5">
        <v>7.5886647062040305E-2</v>
      </c>
      <c r="CM138" s="5">
        <v>-4.43066125905974E-2</v>
      </c>
      <c r="CN138" s="5">
        <v>2.19614629601141E-2</v>
      </c>
      <c r="CO138" s="5">
        <v>4.3772759810062602E-2</v>
      </c>
      <c r="CP138" s="5">
        <v>0.62836768962040701</v>
      </c>
      <c r="CQ138" s="5">
        <v>-0.38137717411313798</v>
      </c>
      <c r="CR138" s="5">
        <v>0.46729912596623502</v>
      </c>
      <c r="CS138" s="5">
        <v>-0.27061742997870802</v>
      </c>
      <c r="CT138" s="5">
        <v>-1.7091000592829201E-2</v>
      </c>
      <c r="CU138" s="5">
        <v>4.5959979277790303E-2</v>
      </c>
      <c r="CV138" s="5">
        <v>0.53902298210059496</v>
      </c>
      <c r="CW138" s="5">
        <v>-0.33023652615216098</v>
      </c>
      <c r="CX138" s="5">
        <v>0.48118152948270199</v>
      </c>
      <c r="CY138" s="5">
        <v>-0.19157568644422501</v>
      </c>
      <c r="CZ138" s="5">
        <v>0.53653825660196497</v>
      </c>
      <c r="DA138" s="5">
        <v>-0.31657928669747698</v>
      </c>
      <c r="DB138" s="5">
        <v>0.37741080239767699</v>
      </c>
      <c r="DC138" s="5">
        <v>1.9773046488192E-2</v>
      </c>
      <c r="DD138" s="5">
        <v>0.67465827286694602</v>
      </c>
      <c r="DE138" s="5">
        <v>-0.38223041798440399</v>
      </c>
      <c r="DF138" s="5">
        <v>0.66598337587781398</v>
      </c>
      <c r="DG138" s="5">
        <v>-0.43409294499406798</v>
      </c>
      <c r="DH138" s="5">
        <v>0.34134495616646598</v>
      </c>
      <c r="DI138" s="5">
        <v>-0.102520556131754</v>
      </c>
      <c r="DJ138" s="5">
        <v>-6.9781000460604994E-2</v>
      </c>
      <c r="DK138" s="5">
        <v>6.1321872332956898E-2</v>
      </c>
      <c r="DL138" s="5">
        <v>0.64428960016697101</v>
      </c>
      <c r="DM138" s="5">
        <v>-0.37015850566050501</v>
      </c>
      <c r="DN138" s="5">
        <v>-0.19731828813674601</v>
      </c>
      <c r="DO138" s="5">
        <v>0.16154183186788099</v>
      </c>
      <c r="DP138" s="5">
        <v>0.30185004942221999</v>
      </c>
      <c r="DQ138" s="5">
        <v>-6.2614944459752103E-2</v>
      </c>
      <c r="DR138" s="5">
        <v>6.0309097543574199E-2</v>
      </c>
      <c r="DS138" s="5">
        <v>0.117543713973823</v>
      </c>
      <c r="DT138" s="5">
        <v>0.314277966396597</v>
      </c>
      <c r="DU138" s="5">
        <v>-0.14459081870305299</v>
      </c>
      <c r="DV138" s="5">
        <v>0.431046313129758</v>
      </c>
      <c r="DW138" s="5">
        <v>-0.23698918597121399</v>
      </c>
      <c r="DX138" s="5">
        <v>-9.4964498359694394E-2</v>
      </c>
      <c r="DY138" s="5">
        <v>0.12753993005258599</v>
      </c>
      <c r="DZ138" s="5">
        <v>3.0106164281725401E-2</v>
      </c>
      <c r="EA138" s="5">
        <v>7.2336532394197102E-3</v>
      </c>
      <c r="EB138" s="5">
        <v>0.69463250505804597</v>
      </c>
      <c r="EC138" s="5">
        <v>-0.45744279469992599</v>
      </c>
      <c r="ED138" s="5">
        <v>0.64417175773797197</v>
      </c>
      <c r="EE138" s="5">
        <v>-0.40492352426518502</v>
      </c>
      <c r="EF138" s="5">
        <v>0.449764823274373</v>
      </c>
      <c r="EG138" s="5">
        <v>-0.26527155698086202</v>
      </c>
      <c r="EH138" s="5">
        <v>1</v>
      </c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</row>
    <row r="139" spans="1:389" x14ac:dyDescent="0.45">
      <c r="A139" s="4" t="str">
        <f ca="1">"GMB / beta2dist in "&amp;CELL("address",'damages-1990'!$K$70)</f>
        <v>GMB / beta2dist in '[BHM betas v3pd.xlsx]damages-1990'!$K$70</v>
      </c>
      <c r="B139" s="6">
        <v>-0.157093668332942</v>
      </c>
      <c r="C139" s="5">
        <v>0.29046357545068702</v>
      </c>
      <c r="D139" s="5">
        <v>-0.36530974401121802</v>
      </c>
      <c r="E139" s="5">
        <v>0.64144737715341604</v>
      </c>
      <c r="F139" s="5">
        <v>-6.30344542453221E-2</v>
      </c>
      <c r="G139" s="5">
        <v>7.4011016073182598E-2</v>
      </c>
      <c r="H139" s="5">
        <v>0.18501734445903201</v>
      </c>
      <c r="I139" s="5">
        <v>-0.28678376497166802</v>
      </c>
      <c r="J139" s="5">
        <v>-0.29580171639843</v>
      </c>
      <c r="K139" s="5">
        <v>0.488305249396423</v>
      </c>
      <c r="L139" s="5">
        <v>-4.1982515745503102E-2</v>
      </c>
      <c r="M139" s="5">
        <v>8.0401552746424507E-2</v>
      </c>
      <c r="N139" s="5">
        <v>-3.0203559790082102E-3</v>
      </c>
      <c r="O139" s="5">
        <v>-4.4596220842994597E-2</v>
      </c>
      <c r="P139" s="5">
        <v>-0.429188248857298</v>
      </c>
      <c r="Q139" s="5">
        <v>0.53733054821730697</v>
      </c>
      <c r="R139" s="5">
        <v>-0.136288131551702</v>
      </c>
      <c r="S139" s="5">
        <v>0.34880340544987398</v>
      </c>
      <c r="T139" s="5">
        <v>-0.204100106394214</v>
      </c>
      <c r="U139" s="5">
        <v>0.209690472471458</v>
      </c>
      <c r="V139" s="5">
        <v>-4.1006724076000402E-2</v>
      </c>
      <c r="W139" s="5">
        <v>4.1329527453844703E-2</v>
      </c>
      <c r="X139" s="5">
        <v>-0.29060849650495502</v>
      </c>
      <c r="Y139" s="5">
        <v>0.51559665464864401</v>
      </c>
      <c r="Z139" s="5">
        <v>-5.82977245953171E-3</v>
      </c>
      <c r="AA139" s="5">
        <v>1.14998139449676E-2</v>
      </c>
      <c r="AB139" s="5">
        <v>-0.30214803874188501</v>
      </c>
      <c r="AC139" s="5">
        <v>0.58690726361256995</v>
      </c>
      <c r="AD139" s="5">
        <v>-0.42525439332850101</v>
      </c>
      <c r="AE139" s="5">
        <v>0.66499917268247799</v>
      </c>
      <c r="AF139" s="5">
        <v>-0.10130687255269</v>
      </c>
      <c r="AG139" s="5">
        <v>0.27397454203167199</v>
      </c>
      <c r="AH139" s="5">
        <v>-0.126337821382358</v>
      </c>
      <c r="AI139" s="5">
        <v>0.14565893968389901</v>
      </c>
      <c r="AJ139" s="5">
        <v>-0.26999936549674403</v>
      </c>
      <c r="AK139" s="5">
        <v>0.42135837238706902</v>
      </c>
      <c r="AL139" s="5">
        <v>0.23622944601707799</v>
      </c>
      <c r="AM139" s="5">
        <v>-0.19281348946691099</v>
      </c>
      <c r="AN139" s="5">
        <v>-0.18962961123105601</v>
      </c>
      <c r="AO139" s="5">
        <v>0.22030288001979501</v>
      </c>
      <c r="AP139" s="5">
        <v>-0.186446945125184</v>
      </c>
      <c r="AQ139" s="5">
        <v>0.19327959628736599</v>
      </c>
      <c r="AR139" s="5">
        <v>-0.13047174450534901</v>
      </c>
      <c r="AS139" s="5">
        <v>0.26989557153381999</v>
      </c>
      <c r="AT139" s="5">
        <v>0.180404312186532</v>
      </c>
      <c r="AU139" s="5">
        <v>-0.108269329860888</v>
      </c>
      <c r="AV139" s="5">
        <v>-0.13957393553927899</v>
      </c>
      <c r="AW139" s="5">
        <v>0.396078928467682</v>
      </c>
      <c r="AX139" s="5">
        <v>-0.26229152540295098</v>
      </c>
      <c r="AY139" s="5">
        <v>0.55170005755046803</v>
      </c>
      <c r="AZ139" s="5">
        <v>-0.537571282944031</v>
      </c>
      <c r="BA139" s="5">
        <v>0.65643284306787997</v>
      </c>
      <c r="BB139" s="5">
        <v>-0.15295191423959401</v>
      </c>
      <c r="BC139" s="5">
        <v>0.41048788663337898</v>
      </c>
      <c r="BD139" s="5">
        <v>-9.9467259952080195E-2</v>
      </c>
      <c r="BE139" s="5">
        <v>0.17509889969624901</v>
      </c>
      <c r="BF139" s="5">
        <v>-0.30522197332912798</v>
      </c>
      <c r="BG139" s="5">
        <v>0.48137097676873802</v>
      </c>
      <c r="BH139" s="5">
        <v>-0.292818039326396</v>
      </c>
      <c r="BI139" s="5">
        <v>0.59221718234513498</v>
      </c>
      <c r="BJ139" s="5">
        <v>1.14146776109906E-2</v>
      </c>
      <c r="BK139" s="5">
        <v>-0.19755929729263699</v>
      </c>
      <c r="BL139" s="5">
        <v>-0.15355212202545401</v>
      </c>
      <c r="BM139" s="5">
        <v>0.132847560101026</v>
      </c>
      <c r="BN139" s="5">
        <v>5.77322577917442E-2</v>
      </c>
      <c r="BO139" s="5">
        <v>-0.14279578032475401</v>
      </c>
      <c r="BP139" s="5">
        <v>8.5955378347414194E-2</v>
      </c>
      <c r="BQ139" s="5">
        <v>-0.25706863493910398</v>
      </c>
      <c r="BR139" s="5">
        <v>-0.42261731018694598</v>
      </c>
      <c r="BS139" s="5">
        <v>0.69209921809442998</v>
      </c>
      <c r="BT139" s="5">
        <v>-0.26858955429985498</v>
      </c>
      <c r="BU139" s="5">
        <v>0.60332729059999501</v>
      </c>
      <c r="BV139" s="5">
        <v>-0.27750390478072201</v>
      </c>
      <c r="BW139" s="5">
        <v>0.56649350300294798</v>
      </c>
      <c r="BX139" s="5">
        <v>-0.15574151774398201</v>
      </c>
      <c r="BY139" s="5">
        <v>0.43324198512418599</v>
      </c>
      <c r="BZ139" s="5">
        <v>-0.26254132232960498</v>
      </c>
      <c r="CA139" s="5">
        <v>0.53250986460338601</v>
      </c>
      <c r="CB139" s="5">
        <v>5.9640636560371302E-2</v>
      </c>
      <c r="CC139" s="5">
        <v>0.106350420360588</v>
      </c>
      <c r="CD139" s="5">
        <v>-0.34918175956535602</v>
      </c>
      <c r="CE139" s="5">
        <v>0.51932321812582305</v>
      </c>
      <c r="CF139" s="5">
        <v>-0.44793158733900101</v>
      </c>
      <c r="CG139" s="5">
        <v>0.57790492898218104</v>
      </c>
      <c r="CH139" s="5">
        <v>0.29259560396972401</v>
      </c>
      <c r="CI139" s="5">
        <v>-0.24092400652981899</v>
      </c>
      <c r="CJ139" s="5">
        <v>0.132704313548965</v>
      </c>
      <c r="CK139" s="5">
        <v>-0.104617333157557</v>
      </c>
      <c r="CL139" s="5">
        <v>-0.14557638851417701</v>
      </c>
      <c r="CM139" s="5">
        <v>0.154127657847341</v>
      </c>
      <c r="CN139" s="5">
        <v>-6.3968451490483705E-2</v>
      </c>
      <c r="CO139" s="5">
        <v>6.1256680380751501E-2</v>
      </c>
      <c r="CP139" s="5">
        <v>-0.54911270987807403</v>
      </c>
      <c r="CQ139" s="5">
        <v>0.66180611511075904</v>
      </c>
      <c r="CR139" s="5">
        <v>-0.428978189188505</v>
      </c>
      <c r="CS139" s="5">
        <v>0.54205602251666396</v>
      </c>
      <c r="CT139" s="5">
        <v>-6.1647750498889001E-2</v>
      </c>
      <c r="CU139" s="5">
        <v>5.7098903505531602E-2</v>
      </c>
      <c r="CV139" s="5">
        <v>-0.35387304070210901</v>
      </c>
      <c r="CW139" s="5">
        <v>0.47496857529500902</v>
      </c>
      <c r="CX139" s="5">
        <v>-0.22981252393968399</v>
      </c>
      <c r="CY139" s="5">
        <v>0.42495743151007398</v>
      </c>
      <c r="CZ139" s="5">
        <v>-0.221368006081751</v>
      </c>
      <c r="DA139" s="5">
        <v>0.43802942332432698</v>
      </c>
      <c r="DB139" s="5">
        <v>-7.8227223897319106E-2</v>
      </c>
      <c r="DC139" s="5">
        <v>0.147641925962362</v>
      </c>
      <c r="DD139" s="5">
        <v>-0.56363508611357804</v>
      </c>
      <c r="DE139" s="5">
        <v>0.69336913878862205</v>
      </c>
      <c r="DF139" s="5">
        <v>-0.45943504383518702</v>
      </c>
      <c r="DG139" s="5">
        <v>0.64769444022815403</v>
      </c>
      <c r="DH139" s="5">
        <v>-0.196650131794639</v>
      </c>
      <c r="DI139" s="5">
        <v>0.32622767791781498</v>
      </c>
      <c r="DJ139" s="5">
        <v>-0.14127642627984099</v>
      </c>
      <c r="DK139" s="5">
        <v>0.13882832199067399</v>
      </c>
      <c r="DL139" s="5">
        <v>-0.38341348058987101</v>
      </c>
      <c r="DM139" s="5">
        <v>0.62756776453864604</v>
      </c>
      <c r="DN139" s="5">
        <v>-6.3653089796247397E-2</v>
      </c>
      <c r="DO139" s="5">
        <v>2.2392806592011E-2</v>
      </c>
      <c r="DP139" s="5">
        <v>0.114803058646937</v>
      </c>
      <c r="DQ139" s="5">
        <v>-4.1231281707450398E-2</v>
      </c>
      <c r="DR139" s="5">
        <v>-1.36505347270532E-2</v>
      </c>
      <c r="DS139" s="5">
        <v>3.7903542362023E-2</v>
      </c>
      <c r="DT139" s="5">
        <v>-0.21167631020849501</v>
      </c>
      <c r="DU139" s="5">
        <v>0.27898483460414603</v>
      </c>
      <c r="DV139" s="5">
        <v>-0.139366142723583</v>
      </c>
      <c r="DW139" s="5">
        <v>0.36348596304261199</v>
      </c>
      <c r="DX139" s="5">
        <v>-1.2983859845298E-2</v>
      </c>
      <c r="DY139" s="5">
        <v>3.3574663058392899E-2</v>
      </c>
      <c r="DZ139" s="5">
        <v>-8.1107836808292505E-2</v>
      </c>
      <c r="EA139" s="5">
        <v>7.6890853444443699E-2</v>
      </c>
      <c r="EB139" s="5">
        <v>-0.47386505029682502</v>
      </c>
      <c r="EC139" s="5">
        <v>0.71140203644531497</v>
      </c>
      <c r="ED139" s="5">
        <v>-0.38752791103273299</v>
      </c>
      <c r="EE139" s="5">
        <v>0.65875951560929802</v>
      </c>
      <c r="EF139" s="5">
        <v>-0.446217115788417</v>
      </c>
      <c r="EG139" s="5">
        <v>0.546005874093906</v>
      </c>
      <c r="EH139" s="5">
        <v>-0.73778867970504403</v>
      </c>
      <c r="EI139" s="5">
        <v>1</v>
      </c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</row>
    <row r="140" spans="1:389" x14ac:dyDescent="0.45">
      <c r="A140" s="4" t="str">
        <f ca="1">"GNB / beta1dist in "&amp;CELL("address",'damages-1990'!$J$71)</f>
        <v>GNB / beta1dist in '[BHM betas v3pd.xlsx]damages-1990'!$J$71</v>
      </c>
      <c r="B140" s="6">
        <v>0.315183206989751</v>
      </c>
      <c r="C140" s="5">
        <v>-1.9720327321993299E-2</v>
      </c>
      <c r="D140" s="5">
        <v>0.71267325591352804</v>
      </c>
      <c r="E140" s="5">
        <v>-0.44799246698363798</v>
      </c>
      <c r="F140" s="5">
        <v>0.20160692324298601</v>
      </c>
      <c r="G140" s="5">
        <v>2.20425302955259E-2</v>
      </c>
      <c r="H140" s="5">
        <v>-0.19232090944444899</v>
      </c>
      <c r="I140" s="5">
        <v>0.20646574325609299</v>
      </c>
      <c r="J140" s="5">
        <v>0.63502513240943603</v>
      </c>
      <c r="K140" s="5">
        <v>-0.38062188846021799</v>
      </c>
      <c r="L140" s="5">
        <v>0.40989317436449901</v>
      </c>
      <c r="M140" s="5">
        <v>-8.9851108672024296E-2</v>
      </c>
      <c r="N140" s="5">
        <v>-8.4312877600648595E-2</v>
      </c>
      <c r="O140" s="5">
        <v>0.13561829898015801</v>
      </c>
      <c r="P140" s="5">
        <v>0.41223571941957299</v>
      </c>
      <c r="Q140" s="5">
        <v>-0.25340331145290301</v>
      </c>
      <c r="R140" s="5">
        <v>0.51880301763840297</v>
      </c>
      <c r="S140" s="5">
        <v>-0.25113803318726602</v>
      </c>
      <c r="T140" s="5">
        <v>8.5566723537755907E-2</v>
      </c>
      <c r="U140" s="5">
        <v>-9.3649127402499296E-2</v>
      </c>
      <c r="V140" s="5">
        <v>0.24063550267605599</v>
      </c>
      <c r="W140" s="5">
        <v>0.12719082112219701</v>
      </c>
      <c r="X140" s="5">
        <v>0.63642653823156403</v>
      </c>
      <c r="Y140" s="5">
        <v>-0.37710913346212199</v>
      </c>
      <c r="Z140" s="5">
        <v>2.3514904435057001E-2</v>
      </c>
      <c r="AA140" s="5">
        <v>6.6807203962856193E-2</v>
      </c>
      <c r="AB140" s="5">
        <v>0.63432289945070297</v>
      </c>
      <c r="AC140" s="5">
        <v>-0.44082681210093</v>
      </c>
      <c r="AD140" s="5">
        <v>0.66799406270210204</v>
      </c>
      <c r="AE140" s="5">
        <v>-0.41721742532303802</v>
      </c>
      <c r="AF140" s="5">
        <v>0.296838206422675</v>
      </c>
      <c r="AG140" s="5">
        <v>-6.3234761404277806E-2</v>
      </c>
      <c r="AH140" s="5">
        <v>0.21756871122699201</v>
      </c>
      <c r="AI140" s="5">
        <v>-4.5931319690129903E-2</v>
      </c>
      <c r="AJ140" s="5">
        <v>0.57694101372992401</v>
      </c>
      <c r="AK140" s="5">
        <v>-0.32634886392107598</v>
      </c>
      <c r="AL140" s="5">
        <v>0.179457619123992</v>
      </c>
      <c r="AM140" s="5">
        <v>-7.5144153222657002E-3</v>
      </c>
      <c r="AN140" s="5">
        <v>0.16504607437229901</v>
      </c>
      <c r="AO140" s="5">
        <v>-8.0389039400602005E-2</v>
      </c>
      <c r="AP140" s="5">
        <v>4.2511969018643403E-2</v>
      </c>
      <c r="AQ140" s="5">
        <v>-2.6857894958827701E-2</v>
      </c>
      <c r="AR140" s="5">
        <v>0.42439241867580302</v>
      </c>
      <c r="AS140" s="5">
        <v>-0.177727168400238</v>
      </c>
      <c r="AT140" s="5">
        <v>0.174969853048415</v>
      </c>
      <c r="AU140" s="5">
        <v>-1.55119657439515E-2</v>
      </c>
      <c r="AV140" s="5">
        <v>0.51158508558915705</v>
      </c>
      <c r="AW140" s="5">
        <v>-0.25560100411528902</v>
      </c>
      <c r="AX140" s="5">
        <v>0.60859849646443598</v>
      </c>
      <c r="AY140" s="5">
        <v>-0.39737095617950002</v>
      </c>
      <c r="AZ140" s="5">
        <v>0.52143528066184397</v>
      </c>
      <c r="BA140" s="5">
        <v>-0.37340300760211698</v>
      </c>
      <c r="BB140" s="5">
        <v>0.53759273779752603</v>
      </c>
      <c r="BC140" s="5">
        <v>-0.26544443144075602</v>
      </c>
      <c r="BD140" s="5">
        <v>0.14977672556426799</v>
      </c>
      <c r="BE140" s="5">
        <v>0.14748922973572401</v>
      </c>
      <c r="BF140" s="5">
        <v>0.60507202815715899</v>
      </c>
      <c r="BG140" s="5">
        <v>-0.36911589004113599</v>
      </c>
      <c r="BH140" s="5">
        <v>0.66433344229320201</v>
      </c>
      <c r="BI140" s="5">
        <v>-0.42127404984283301</v>
      </c>
      <c r="BJ140" s="5">
        <v>-0.242630354727117</v>
      </c>
      <c r="BK140" s="5">
        <v>0.21648344617451401</v>
      </c>
      <c r="BL140" s="5">
        <v>3.1487809216525803E-2</v>
      </c>
      <c r="BM140" s="5">
        <v>-4.9692167493327701E-2</v>
      </c>
      <c r="BN140" s="5">
        <v>-0.113156591610256</v>
      </c>
      <c r="BO140" s="5">
        <v>0.24266975993441101</v>
      </c>
      <c r="BP140" s="5">
        <v>-0.13793034437996801</v>
      </c>
      <c r="BQ140" s="5">
        <v>0.31670191020607102</v>
      </c>
      <c r="BR140" s="5">
        <v>0.66398516666230301</v>
      </c>
      <c r="BS140" s="5">
        <v>-0.45483644492179598</v>
      </c>
      <c r="BT140" s="5">
        <v>0.664741978932468</v>
      </c>
      <c r="BU140" s="5">
        <v>-0.44909146765970098</v>
      </c>
      <c r="BV140" s="5">
        <v>0.68124093960032195</v>
      </c>
      <c r="BW140" s="5">
        <v>-0.43757209595511498</v>
      </c>
      <c r="BX140" s="5">
        <v>0.57258513854187898</v>
      </c>
      <c r="BY140" s="5">
        <v>-0.358736557781624</v>
      </c>
      <c r="BZ140" s="5">
        <v>0.60706799034189296</v>
      </c>
      <c r="CA140" s="5">
        <v>-0.38940036437445502</v>
      </c>
      <c r="CB140" s="5">
        <v>0.29388428406427503</v>
      </c>
      <c r="CC140" s="5">
        <v>-0.123837317765915</v>
      </c>
      <c r="CD140" s="5">
        <v>0.42608301251008102</v>
      </c>
      <c r="CE140" s="5">
        <v>-0.28032377260896801</v>
      </c>
      <c r="CF140" s="5">
        <v>0.54570718974017396</v>
      </c>
      <c r="CG140" s="5">
        <v>-0.345894585113738</v>
      </c>
      <c r="CH140" s="5">
        <v>0.12580707312584799</v>
      </c>
      <c r="CI140" s="5">
        <v>3.01728478487602E-2</v>
      </c>
      <c r="CJ140" s="5">
        <v>9.9597960454905807E-2</v>
      </c>
      <c r="CK140" s="5">
        <v>9.8695277218781394E-2</v>
      </c>
      <c r="CL140" s="5">
        <v>9.3956643742164295E-2</v>
      </c>
      <c r="CM140" s="5">
        <v>-6.2112892677583902E-2</v>
      </c>
      <c r="CN140" s="5">
        <v>4.8886849491087701E-2</v>
      </c>
      <c r="CO140" s="5">
        <v>1.35387450496216E-2</v>
      </c>
      <c r="CP140" s="5">
        <v>0.61198433130287</v>
      </c>
      <c r="CQ140" s="5">
        <v>-0.36495506019873197</v>
      </c>
      <c r="CR140" s="5">
        <v>0.42708610652552698</v>
      </c>
      <c r="CS140" s="5">
        <v>-0.25041972793116102</v>
      </c>
      <c r="CT140" s="5">
        <v>3.4356897281036199E-2</v>
      </c>
      <c r="CU140" s="5">
        <v>-1.3040005128154101E-2</v>
      </c>
      <c r="CV140" s="5">
        <v>0.53574437535388897</v>
      </c>
      <c r="CW140" s="5">
        <v>-0.34943221544152803</v>
      </c>
      <c r="CX140" s="5">
        <v>0.53868665567291696</v>
      </c>
      <c r="CY140" s="5">
        <v>-0.27525854105268399</v>
      </c>
      <c r="CZ140" s="5">
        <v>0.55672701487676701</v>
      </c>
      <c r="DA140" s="5">
        <v>-0.34823077344395098</v>
      </c>
      <c r="DB140" s="5">
        <v>0.42069464474532697</v>
      </c>
      <c r="DC140" s="5">
        <v>-7.0905079960355596E-2</v>
      </c>
      <c r="DD140" s="5">
        <v>0.65341673493622299</v>
      </c>
      <c r="DE140" s="5">
        <v>-0.36510984931972601</v>
      </c>
      <c r="DF140" s="5">
        <v>0.58828426845905402</v>
      </c>
      <c r="DG140" s="5">
        <v>-0.35951019264339901</v>
      </c>
      <c r="DH140" s="5">
        <v>0.32200716090770298</v>
      </c>
      <c r="DI140" s="5">
        <v>-9.6567105768072495E-2</v>
      </c>
      <c r="DJ140" s="5">
        <v>-1.5895931847680001E-2</v>
      </c>
      <c r="DK140" s="5">
        <v>-7.5095140967822103E-5</v>
      </c>
      <c r="DL140" s="5">
        <v>0.614341538334083</v>
      </c>
      <c r="DM140" s="5">
        <v>-0.346075419550885</v>
      </c>
      <c r="DN140" s="5">
        <v>-0.14161266288484001</v>
      </c>
      <c r="DO140" s="5">
        <v>9.3936854464592698E-2</v>
      </c>
      <c r="DP140" s="5">
        <v>0.340473322150457</v>
      </c>
      <c r="DQ140" s="5">
        <v>-0.106363403412071</v>
      </c>
      <c r="DR140" s="5">
        <v>9.6324625263374597E-2</v>
      </c>
      <c r="DS140" s="5">
        <v>6.6129024995311203E-2</v>
      </c>
      <c r="DT140" s="5">
        <v>0.30969245036540999</v>
      </c>
      <c r="DU140" s="5">
        <v>-0.14292395457430501</v>
      </c>
      <c r="DV140" s="5">
        <v>0.50411606298183498</v>
      </c>
      <c r="DW140" s="5">
        <v>-0.319670820840326</v>
      </c>
      <c r="DX140" s="5">
        <v>-3.6598330244997999E-2</v>
      </c>
      <c r="DY140" s="5">
        <v>6.33008419205532E-2</v>
      </c>
      <c r="DZ140" s="5">
        <v>9.7846286771532997E-4</v>
      </c>
      <c r="EA140" s="5">
        <v>4.8962490532083999E-2</v>
      </c>
      <c r="EB140" s="5">
        <v>0.72462061838303204</v>
      </c>
      <c r="EC140" s="5">
        <v>-0.48503068116511799</v>
      </c>
      <c r="ED140" s="5">
        <v>0.70052672349219702</v>
      </c>
      <c r="EE140" s="5">
        <v>-0.45365073601846501</v>
      </c>
      <c r="EF140" s="5">
        <v>0.41930425521854597</v>
      </c>
      <c r="EG140" s="5">
        <v>-0.25491949957767102</v>
      </c>
      <c r="EH140" s="5">
        <v>0.837106590043452</v>
      </c>
      <c r="EI140" s="5">
        <v>-0.57799213530339399</v>
      </c>
      <c r="EJ140" s="5">
        <v>1</v>
      </c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</row>
    <row r="141" spans="1:389" x14ac:dyDescent="0.45">
      <c r="A141" s="4" t="str">
        <f ca="1">"GNB / beta2dist in "&amp;CELL("address",'damages-1990'!$K$71)</f>
        <v>GNB / beta2dist in '[BHM betas v3pd.xlsx]damages-1990'!$K$71</v>
      </c>
      <c r="B141" s="6">
        <v>-0.171305969676841</v>
      </c>
      <c r="C141" s="5">
        <v>0.32190799272332499</v>
      </c>
      <c r="D141" s="5">
        <v>-0.39497681936731199</v>
      </c>
      <c r="E141" s="5">
        <v>0.67861593063060299</v>
      </c>
      <c r="F141" s="5">
        <v>-5.4504901202686598E-2</v>
      </c>
      <c r="G141" s="5">
        <v>8.1536257027433306E-2</v>
      </c>
      <c r="H141" s="5">
        <v>0.104297254168624</v>
      </c>
      <c r="I141" s="5">
        <v>-0.19877065663207</v>
      </c>
      <c r="J141" s="5">
        <v>-0.29636106098352899</v>
      </c>
      <c r="K141" s="5">
        <v>0.515129750328576</v>
      </c>
      <c r="L141" s="5">
        <v>-7.6141527559191999E-2</v>
      </c>
      <c r="M141" s="5">
        <v>0.143648635003949</v>
      </c>
      <c r="N141" s="5">
        <v>3.9085479480450602E-2</v>
      </c>
      <c r="O141" s="5">
        <v>-9.1590313051464894E-2</v>
      </c>
      <c r="P141" s="5">
        <v>-0.42750034651651198</v>
      </c>
      <c r="Q141" s="5">
        <v>0.55928356796161005</v>
      </c>
      <c r="R141" s="5">
        <v>-0.13845505287806401</v>
      </c>
      <c r="S141" s="5">
        <v>0.37867663732294199</v>
      </c>
      <c r="T141" s="5">
        <v>-0.23262561075861601</v>
      </c>
      <c r="U141" s="5">
        <v>0.24282655471217099</v>
      </c>
      <c r="V141" s="5">
        <v>-2.14695139043969E-2</v>
      </c>
      <c r="W141" s="5">
        <v>2.0711199162665901E-2</v>
      </c>
      <c r="X141" s="5">
        <v>-0.34433736359454298</v>
      </c>
      <c r="Y141" s="5">
        <v>0.58682771183760196</v>
      </c>
      <c r="Z141" s="5">
        <v>-4.7925764282849399E-2</v>
      </c>
      <c r="AA141" s="5">
        <v>6.33548846096878E-2</v>
      </c>
      <c r="AB141" s="5">
        <v>-0.37849545483250802</v>
      </c>
      <c r="AC141" s="5">
        <v>0.65787955318342595</v>
      </c>
      <c r="AD141" s="5">
        <v>-0.45402995617455</v>
      </c>
      <c r="AE141" s="5">
        <v>0.68552931043904497</v>
      </c>
      <c r="AF141" s="5">
        <v>-7.4393989008864805E-2</v>
      </c>
      <c r="AG141" s="5">
        <v>0.262928685218214</v>
      </c>
      <c r="AH141" s="5">
        <v>-0.120909567999962</v>
      </c>
      <c r="AI141" s="5">
        <v>0.15231338416623899</v>
      </c>
      <c r="AJ141" s="5">
        <v>-0.29922675102433499</v>
      </c>
      <c r="AK141" s="5">
        <v>0.483472550621936</v>
      </c>
      <c r="AL141" s="5">
        <v>0.24699806668365701</v>
      </c>
      <c r="AM141" s="5">
        <v>-0.19339631172262101</v>
      </c>
      <c r="AN141" s="5">
        <v>-0.20788210052106601</v>
      </c>
      <c r="AO141" s="5">
        <v>0.249132644955776</v>
      </c>
      <c r="AP141" s="5">
        <v>-0.21661143780877401</v>
      </c>
      <c r="AQ141" s="5">
        <v>0.230332281874918</v>
      </c>
      <c r="AR141" s="5">
        <v>-7.6290082711680099E-2</v>
      </c>
      <c r="AS141" s="5">
        <v>0.22365006885019401</v>
      </c>
      <c r="AT141" s="5">
        <v>0.18117152000948999</v>
      </c>
      <c r="AU141" s="5">
        <v>-0.109430102533142</v>
      </c>
      <c r="AV141" s="5">
        <v>-0.119011548075412</v>
      </c>
      <c r="AW141" s="5">
        <v>0.402105087835949</v>
      </c>
      <c r="AX141" s="5">
        <v>-0.22936316329347101</v>
      </c>
      <c r="AY141" s="5">
        <v>0.54461058841029597</v>
      </c>
      <c r="AZ141" s="5">
        <v>-0.49324265222381197</v>
      </c>
      <c r="BA141" s="5">
        <v>0.63602227416386203</v>
      </c>
      <c r="BB141" s="5">
        <v>-0.117522026620748</v>
      </c>
      <c r="BC141" s="5">
        <v>0.37212930503458702</v>
      </c>
      <c r="BD141" s="5">
        <v>-9.7479267298105604E-2</v>
      </c>
      <c r="BE141" s="5">
        <v>0.18336186421874201</v>
      </c>
      <c r="BF141" s="5">
        <v>-0.35371038861863702</v>
      </c>
      <c r="BG141" s="5">
        <v>0.54771974718277705</v>
      </c>
      <c r="BH141" s="5">
        <v>-0.33228039605633503</v>
      </c>
      <c r="BI141" s="5">
        <v>0.63789778739175196</v>
      </c>
      <c r="BJ141" s="5">
        <v>-5.8552178750495398E-2</v>
      </c>
      <c r="BK141" s="5">
        <v>-0.12651430188301799</v>
      </c>
      <c r="BL141" s="5">
        <v>-0.183754743002049</v>
      </c>
      <c r="BM141" s="5">
        <v>0.163768118142992</v>
      </c>
      <c r="BN141" s="5">
        <v>3.6081985986824001E-2</v>
      </c>
      <c r="BO141" s="5">
        <v>-0.115276207880481</v>
      </c>
      <c r="BP141" s="5">
        <v>6.1900746682915501E-2</v>
      </c>
      <c r="BQ141" s="5">
        <v>-0.22749108932788301</v>
      </c>
      <c r="BR141" s="5">
        <v>-0.46989102768152802</v>
      </c>
      <c r="BS141" s="5">
        <v>0.73027022249581297</v>
      </c>
      <c r="BT141" s="5">
        <v>-0.29212102205345403</v>
      </c>
      <c r="BU141" s="5">
        <v>0.64063667571899996</v>
      </c>
      <c r="BV141" s="5">
        <v>-0.32156905678516501</v>
      </c>
      <c r="BW141" s="5">
        <v>0.621677106837351</v>
      </c>
      <c r="BX141" s="5">
        <v>-0.22130462582852301</v>
      </c>
      <c r="BY141" s="5">
        <v>0.51169310188359596</v>
      </c>
      <c r="BZ141" s="5">
        <v>-0.27478668665556599</v>
      </c>
      <c r="CA141" s="5">
        <v>0.55553605332447598</v>
      </c>
      <c r="CB141" s="5">
        <v>1.6709573502365099E-2</v>
      </c>
      <c r="CC141" s="5">
        <v>0.16594115825563799</v>
      </c>
      <c r="CD141" s="5">
        <v>-0.296324976161839</v>
      </c>
      <c r="CE141" s="5">
        <v>0.46325130355635902</v>
      </c>
      <c r="CF141" s="5">
        <v>-0.40340425125635798</v>
      </c>
      <c r="CG141" s="5">
        <v>0.55220085815255604</v>
      </c>
      <c r="CH141" s="5">
        <v>0.295500326097699</v>
      </c>
      <c r="CI141" s="5">
        <v>-0.22892992932157999</v>
      </c>
      <c r="CJ141" s="5">
        <v>0.13089956376373901</v>
      </c>
      <c r="CK141" s="5">
        <v>-8.9089875483528105E-2</v>
      </c>
      <c r="CL141" s="5">
        <v>-0.17305719363154901</v>
      </c>
      <c r="CM141" s="5">
        <v>0.18858686476821401</v>
      </c>
      <c r="CN141" s="5">
        <v>-9.8982878125857196E-2</v>
      </c>
      <c r="CO141" s="5">
        <v>0.10605985512296</v>
      </c>
      <c r="CP141" s="5">
        <v>-0.53078087457822098</v>
      </c>
      <c r="CQ141" s="5">
        <v>0.64867603105553995</v>
      </c>
      <c r="CR141" s="5">
        <v>-0.411127282482175</v>
      </c>
      <c r="CS141" s="5">
        <v>0.548084006517084</v>
      </c>
      <c r="CT141" s="5">
        <v>-0.121771218740966</v>
      </c>
      <c r="CU141" s="5">
        <v>0.12980034073385299</v>
      </c>
      <c r="CV141" s="5">
        <v>-0.35868013237790097</v>
      </c>
      <c r="CW141" s="5">
        <v>0.50568041945151698</v>
      </c>
      <c r="CX141" s="5">
        <v>-0.26980971182277202</v>
      </c>
      <c r="CY141" s="5">
        <v>0.48973345795332801</v>
      </c>
      <c r="CZ141" s="5">
        <v>-0.249764874409688</v>
      </c>
      <c r="DA141" s="5">
        <v>0.48594831525138799</v>
      </c>
      <c r="DB141" s="5">
        <v>-0.11543050580167501</v>
      </c>
      <c r="DC141" s="5">
        <v>0.227866350726356</v>
      </c>
      <c r="DD141" s="5">
        <v>-0.53353728340685003</v>
      </c>
      <c r="DE141" s="5">
        <v>0.67130936250677797</v>
      </c>
      <c r="DF141" s="5">
        <v>-0.37571738321356501</v>
      </c>
      <c r="DG141" s="5">
        <v>0.56882947349618596</v>
      </c>
      <c r="DH141" s="5">
        <v>-0.173213524338409</v>
      </c>
      <c r="DI141" s="5">
        <v>0.32009879981765799</v>
      </c>
      <c r="DJ141" s="5">
        <v>-0.18972368525936001</v>
      </c>
      <c r="DK141" s="5">
        <v>0.200741609177814</v>
      </c>
      <c r="DL141" s="5">
        <v>-0.35987955156199303</v>
      </c>
      <c r="DM141" s="5">
        <v>0.61297758061626995</v>
      </c>
      <c r="DN141" s="5">
        <v>-0.116961133531537</v>
      </c>
      <c r="DO141" s="5">
        <v>9.5306276038471305E-2</v>
      </c>
      <c r="DP141" s="5">
        <v>9.7736595255841996E-2</v>
      </c>
      <c r="DQ141" s="5">
        <v>-2.2644533093200001E-2</v>
      </c>
      <c r="DR141" s="5">
        <v>-5.2859237347271902E-2</v>
      </c>
      <c r="DS141" s="5">
        <v>9.8218530313392297E-2</v>
      </c>
      <c r="DT141" s="5">
        <v>-0.203075316924651</v>
      </c>
      <c r="DU141" s="5">
        <v>0.27493937436378002</v>
      </c>
      <c r="DV141" s="5">
        <v>-0.216540381624936</v>
      </c>
      <c r="DW141" s="5">
        <v>0.455047590586384</v>
      </c>
      <c r="DX141" s="5">
        <v>-6.7229752042438695E-2</v>
      </c>
      <c r="DY141" s="5">
        <v>9.4901894933025796E-2</v>
      </c>
      <c r="DZ141" s="5">
        <v>-5.02244241603464E-2</v>
      </c>
      <c r="EA141" s="5">
        <v>4.59133452040267E-2</v>
      </c>
      <c r="EB141" s="5">
        <v>-0.49955956425408399</v>
      </c>
      <c r="EC141" s="5">
        <v>0.73955966699009701</v>
      </c>
      <c r="ED141" s="5">
        <v>-0.44725863112348002</v>
      </c>
      <c r="EE141" s="5">
        <v>0.71738492605061199</v>
      </c>
      <c r="EF141" s="5">
        <v>-0.43883519281392303</v>
      </c>
      <c r="EG141" s="5">
        <v>0.56167874023161501</v>
      </c>
      <c r="EH141" s="5">
        <v>-0.56111823073192502</v>
      </c>
      <c r="EI141" s="5">
        <v>0.82922958537509905</v>
      </c>
      <c r="EJ141" s="5">
        <v>-0.73320274841501698</v>
      </c>
      <c r="EK141" s="5">
        <v>1</v>
      </c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</row>
    <row r="142" spans="1:389" x14ac:dyDescent="0.45">
      <c r="A142" s="4" t="str">
        <f ca="1">"GNQ / beta1dist in "&amp;CELL("address",'damages-1990'!$J$72)</f>
        <v>GNQ / beta1dist in '[BHM betas v3pd.xlsx]damages-1990'!$J$72</v>
      </c>
      <c r="B142" s="6">
        <v>0.215341999029936</v>
      </c>
      <c r="C142" s="5">
        <v>0.210349539765321</v>
      </c>
      <c r="D142" s="5">
        <v>0.68222831435616205</v>
      </c>
      <c r="E142" s="5">
        <v>-0.31396607558412798</v>
      </c>
      <c r="F142" s="5">
        <v>0.17247779405543301</v>
      </c>
      <c r="G142" s="5">
        <v>9.6787634957705607E-2</v>
      </c>
      <c r="H142" s="5">
        <v>-0.182254686682782</v>
      </c>
      <c r="I142" s="5">
        <v>0.15578550164827401</v>
      </c>
      <c r="J142" s="5">
        <v>0.583934381047575</v>
      </c>
      <c r="K142" s="5">
        <v>-0.20231985793712201</v>
      </c>
      <c r="L142" s="5">
        <v>0.38883750461736899</v>
      </c>
      <c r="M142" s="5">
        <v>4.6023424771909904E-3</v>
      </c>
      <c r="N142" s="5">
        <v>-3.1268331831531701E-2</v>
      </c>
      <c r="O142" s="5">
        <v>3.4545315663792098E-2</v>
      </c>
      <c r="P142" s="5">
        <v>0.396123735826171</v>
      </c>
      <c r="Q142" s="5">
        <v>-0.197751259477808</v>
      </c>
      <c r="R142" s="5">
        <v>0.71615104748383496</v>
      </c>
      <c r="S142" s="5">
        <v>-0.39555131285733403</v>
      </c>
      <c r="T142" s="5">
        <v>-7.9232667909027804E-2</v>
      </c>
      <c r="U142" s="5">
        <v>7.7951229412023704E-2</v>
      </c>
      <c r="V142" s="5">
        <v>0.20110408622280199</v>
      </c>
      <c r="W142" s="5">
        <v>0.25035788213086901</v>
      </c>
      <c r="X142" s="5">
        <v>0.68833401399396099</v>
      </c>
      <c r="Y142" s="5">
        <v>-0.32922734049247998</v>
      </c>
      <c r="Z142" s="5">
        <v>-7.6446972371462399E-3</v>
      </c>
      <c r="AA142" s="5">
        <v>0.116364398094694</v>
      </c>
      <c r="AB142" s="5">
        <v>0.68078494721649896</v>
      </c>
      <c r="AC142" s="5">
        <v>-0.42951757697413201</v>
      </c>
      <c r="AD142" s="5">
        <v>0.62258285579389505</v>
      </c>
      <c r="AE142" s="5">
        <v>-0.32121440651865801</v>
      </c>
      <c r="AF142" s="5">
        <v>0.39769262202656702</v>
      </c>
      <c r="AG142" s="5">
        <v>-8.2890861538141195E-2</v>
      </c>
      <c r="AH142" s="5">
        <v>0.12317944741871301</v>
      </c>
      <c r="AI142" s="5">
        <v>9.5108304028694704E-2</v>
      </c>
      <c r="AJ142" s="5">
        <v>0.57013030574010504</v>
      </c>
      <c r="AK142" s="5">
        <v>-0.178338795845468</v>
      </c>
      <c r="AL142" s="5">
        <v>0.45265991435226899</v>
      </c>
      <c r="AM142" s="5">
        <v>-0.25911721065715299</v>
      </c>
      <c r="AN142" s="5">
        <v>2.4046578946011098E-2</v>
      </c>
      <c r="AO142" s="5">
        <v>0.101160840220961</v>
      </c>
      <c r="AP142" s="5">
        <v>-0.17006574235153599</v>
      </c>
      <c r="AQ142" s="5">
        <v>0.18992594151881401</v>
      </c>
      <c r="AR142" s="5">
        <v>0.57885912654208305</v>
      </c>
      <c r="AS142" s="5">
        <v>-0.31155136219341301</v>
      </c>
      <c r="AT142" s="5">
        <v>0.29072774756031899</v>
      </c>
      <c r="AU142" s="5">
        <v>-2.8342826427181299E-2</v>
      </c>
      <c r="AV142" s="5">
        <v>0.72278320591802203</v>
      </c>
      <c r="AW142" s="5">
        <v>-0.436195154881794</v>
      </c>
      <c r="AX142" s="5">
        <v>0.79154514566198297</v>
      </c>
      <c r="AY142" s="5">
        <v>-0.53025963750471905</v>
      </c>
      <c r="AZ142" s="5">
        <v>0.459337926119678</v>
      </c>
      <c r="BA142" s="5">
        <v>-0.26333152751008898</v>
      </c>
      <c r="BB142" s="5">
        <v>0.62937146032866798</v>
      </c>
      <c r="BC142" s="5">
        <v>-0.23053792406915399</v>
      </c>
      <c r="BD142" s="5">
        <v>4.8588184112667798E-2</v>
      </c>
      <c r="BE142" s="5">
        <v>0.35203336968773402</v>
      </c>
      <c r="BF142" s="5">
        <v>0.53619694357565595</v>
      </c>
      <c r="BG142" s="5">
        <v>-0.20494781165441001</v>
      </c>
      <c r="BH142" s="5">
        <v>0.77233945586321395</v>
      </c>
      <c r="BI142" s="5">
        <v>-0.45699980848070998</v>
      </c>
      <c r="BJ142" s="5">
        <v>-0.45740614401121499</v>
      </c>
      <c r="BK142" s="5">
        <v>0.40485155760814301</v>
      </c>
      <c r="BL142" s="5">
        <v>-4.9020155833506801E-2</v>
      </c>
      <c r="BM142" s="5">
        <v>1.31467630346285E-2</v>
      </c>
      <c r="BN142" s="5">
        <v>-0.161123444080847</v>
      </c>
      <c r="BO142" s="5">
        <v>0.29095985319607498</v>
      </c>
      <c r="BP142" s="5">
        <v>-0.24686069522927101</v>
      </c>
      <c r="BQ142" s="5">
        <v>0.44774584444729998</v>
      </c>
      <c r="BR142" s="5">
        <v>0.69509744386954198</v>
      </c>
      <c r="BS142" s="5">
        <v>-0.41636450354684801</v>
      </c>
      <c r="BT142" s="5">
        <v>0.79313909042271402</v>
      </c>
      <c r="BU142" s="5">
        <v>-0.49820559809156001</v>
      </c>
      <c r="BV142" s="5">
        <v>0.76268420350455801</v>
      </c>
      <c r="BW142" s="5">
        <v>-0.43121291685160101</v>
      </c>
      <c r="BX142" s="5">
        <v>0.73227068453274902</v>
      </c>
      <c r="BY142" s="5">
        <v>-0.46862848213487002</v>
      </c>
      <c r="BZ142" s="5">
        <v>0.78720680195062698</v>
      </c>
      <c r="CA142" s="5">
        <v>-0.50687259827047204</v>
      </c>
      <c r="CB142" s="5">
        <v>0.59585919398450704</v>
      </c>
      <c r="CC142" s="5">
        <v>-0.41398743805892801</v>
      </c>
      <c r="CD142" s="5">
        <v>0.273889103756709</v>
      </c>
      <c r="CE142" s="5">
        <v>-3.8932547968981199E-2</v>
      </c>
      <c r="CF142" s="5">
        <v>0.65934773198840002</v>
      </c>
      <c r="CG142" s="5">
        <v>-0.43904928561860601</v>
      </c>
      <c r="CH142" s="5">
        <v>0.43136671104584401</v>
      </c>
      <c r="CI142" s="5">
        <v>-0.26024303675773702</v>
      </c>
      <c r="CJ142" s="5">
        <v>0.27087928074444501</v>
      </c>
      <c r="CK142" s="5">
        <v>-2.48904723211971E-2</v>
      </c>
      <c r="CL142" s="5">
        <v>-5.7045455531760901E-2</v>
      </c>
      <c r="CM142" s="5">
        <v>0.10676633135906601</v>
      </c>
      <c r="CN142" s="5">
        <v>-4.4871873500179599E-2</v>
      </c>
      <c r="CO142" s="5">
        <v>0.12642945673686601</v>
      </c>
      <c r="CP142" s="5">
        <v>0.48972893444924198</v>
      </c>
      <c r="CQ142" s="5">
        <v>-0.22168867332944001</v>
      </c>
      <c r="CR142" s="5">
        <v>0.43549810696902702</v>
      </c>
      <c r="CS142" s="5">
        <v>-0.22134947483338799</v>
      </c>
      <c r="CT142" s="5">
        <v>-7.3040998008220698E-2</v>
      </c>
      <c r="CU142" s="5">
        <v>9.1571673652157598E-2</v>
      </c>
      <c r="CV142" s="5">
        <v>0.56333119030072498</v>
      </c>
      <c r="CW142" s="5">
        <v>-0.34407086110484703</v>
      </c>
      <c r="CX142" s="5">
        <v>0.58127221592614597</v>
      </c>
      <c r="CY142" s="5">
        <v>-0.22181798288301399</v>
      </c>
      <c r="CZ142" s="5">
        <v>0.78098743236466295</v>
      </c>
      <c r="DA142" s="5">
        <v>-0.51375247975759997</v>
      </c>
      <c r="DB142" s="5">
        <v>0.45378162939761801</v>
      </c>
      <c r="DC142" s="5">
        <v>2.4152172489150501E-2</v>
      </c>
      <c r="DD142" s="5">
        <v>0.47206257072512098</v>
      </c>
      <c r="DE142" s="5">
        <v>-0.17346110573833501</v>
      </c>
      <c r="DF142" s="5">
        <v>0.53698228000747905</v>
      </c>
      <c r="DG142" s="5">
        <v>-0.23637448746831699</v>
      </c>
      <c r="DH142" s="5">
        <v>0.30875182918822103</v>
      </c>
      <c r="DI142" s="5">
        <v>-9.7013556017760405E-3</v>
      </c>
      <c r="DJ142" s="5">
        <v>-0.22452481894666901</v>
      </c>
      <c r="DK142" s="5">
        <v>0.20280913990817701</v>
      </c>
      <c r="DL142" s="5">
        <v>0.58505799932975699</v>
      </c>
      <c r="DM142" s="5">
        <v>-0.23970001503770499</v>
      </c>
      <c r="DN142" s="5">
        <v>-0.30589634521599302</v>
      </c>
      <c r="DO142" s="5">
        <v>0.22327054567538401</v>
      </c>
      <c r="DP142" s="5">
        <v>0.30169578178657602</v>
      </c>
      <c r="DQ142" s="5">
        <v>4.00216303081685E-2</v>
      </c>
      <c r="DR142" s="5">
        <v>9.4359773898254298E-2</v>
      </c>
      <c r="DS142" s="5">
        <v>0.10307038900769799</v>
      </c>
      <c r="DT142" s="5">
        <v>0.37273849229192801</v>
      </c>
      <c r="DU142" s="5">
        <v>-0.16509156448912199</v>
      </c>
      <c r="DV142" s="5">
        <v>0.63903690677445102</v>
      </c>
      <c r="DW142" s="5">
        <v>-0.41667011292329598</v>
      </c>
      <c r="DX142" s="5">
        <v>-0.15023830052252299</v>
      </c>
      <c r="DY142" s="5">
        <v>0.19968995473683501</v>
      </c>
      <c r="DZ142" s="5">
        <v>-4.5037479473211796E-3</v>
      </c>
      <c r="EA142" s="5">
        <v>2.1989150520024599E-2</v>
      </c>
      <c r="EB142" s="5">
        <v>0.75713603393036699</v>
      </c>
      <c r="EC142" s="5">
        <v>-0.45811851373817503</v>
      </c>
      <c r="ED142" s="5">
        <v>0.72736839033196499</v>
      </c>
      <c r="EE142" s="5">
        <v>-0.396350505310887</v>
      </c>
      <c r="EF142" s="5">
        <v>0.409480160236188</v>
      </c>
      <c r="EG142" s="5">
        <v>-0.20746387302267699</v>
      </c>
      <c r="EH142" s="5">
        <v>0.64226972805819904</v>
      </c>
      <c r="EI142" s="5">
        <v>-0.27851755052236499</v>
      </c>
      <c r="EJ142" s="5">
        <v>0.65744101564929802</v>
      </c>
      <c r="EK142" s="5">
        <v>-0.29538241480719601</v>
      </c>
      <c r="EL142" s="5">
        <v>1</v>
      </c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</row>
    <row r="143" spans="1:389" x14ac:dyDescent="0.45">
      <c r="A143" s="4" t="str">
        <f ca="1">"GNQ / beta2dist in "&amp;CELL("address",'damages-1990'!$K$72)</f>
        <v>GNQ / beta2dist in '[BHM betas v3pd.xlsx]damages-1990'!$K$72</v>
      </c>
      <c r="B143" s="6">
        <v>-9.5147455764364397E-2</v>
      </c>
      <c r="C143" s="5">
        <v>7.6829772985517797E-2</v>
      </c>
      <c r="D143" s="5">
        <v>-0.42388592528279301</v>
      </c>
      <c r="E143" s="5">
        <v>0.56752249010717204</v>
      </c>
      <c r="F143" s="5">
        <v>-4.2352903933830899E-2</v>
      </c>
      <c r="G143" s="5">
        <v>1.8776565538452499E-3</v>
      </c>
      <c r="H143" s="5">
        <v>0.158880954094756</v>
      </c>
      <c r="I143" s="5">
        <v>-0.21302230613084</v>
      </c>
      <c r="J143" s="5">
        <v>-0.331866917353904</v>
      </c>
      <c r="K143" s="5">
        <v>0.38830296490194299</v>
      </c>
      <c r="L143" s="5">
        <v>-0.108885008755503</v>
      </c>
      <c r="M143" s="5">
        <v>7.6439344942110701E-2</v>
      </c>
      <c r="N143" s="5">
        <v>2.8995924988557201E-3</v>
      </c>
      <c r="O143" s="5">
        <v>-1.10127032732911E-2</v>
      </c>
      <c r="P143" s="5">
        <v>-0.42461845695679001</v>
      </c>
      <c r="Q143" s="5">
        <v>0.497023887332389</v>
      </c>
      <c r="R143" s="5">
        <v>-0.43013777418485599</v>
      </c>
      <c r="S143" s="5">
        <v>0.58448914327551704</v>
      </c>
      <c r="T143" s="5">
        <v>8.0258354647536805E-4</v>
      </c>
      <c r="U143" s="5">
        <v>-2.76932724650152E-3</v>
      </c>
      <c r="V143" s="5">
        <v>-8.9119471770005305E-3</v>
      </c>
      <c r="W143" s="5">
        <v>-0.118258241748517</v>
      </c>
      <c r="X143" s="5">
        <v>-0.46578883571184798</v>
      </c>
      <c r="Y143" s="5">
        <v>0.57672267587250903</v>
      </c>
      <c r="Z143" s="5">
        <v>2.3884499510543701E-2</v>
      </c>
      <c r="AA143" s="5">
        <v>-4.0614107780910499E-2</v>
      </c>
      <c r="AB143" s="5">
        <v>-0.47727580739082098</v>
      </c>
      <c r="AC143" s="5">
        <v>0.677694605148076</v>
      </c>
      <c r="AD143" s="5">
        <v>-0.47206917057405701</v>
      </c>
      <c r="AE143" s="5">
        <v>0.62604200102602203</v>
      </c>
      <c r="AF143" s="5">
        <v>-0.22889280466453199</v>
      </c>
      <c r="AG143" s="5">
        <v>0.30310428572134301</v>
      </c>
      <c r="AH143" s="5">
        <v>-2.83344133514239E-2</v>
      </c>
      <c r="AI143" s="5">
        <v>-8.7237756955487293E-3</v>
      </c>
      <c r="AJ143" s="5">
        <v>-0.39394038766307499</v>
      </c>
      <c r="AK143" s="5">
        <v>0.398673378497099</v>
      </c>
      <c r="AL143" s="5">
        <v>-0.11067401123620001</v>
      </c>
      <c r="AM143" s="5">
        <v>0.12836695962108099</v>
      </c>
      <c r="AN143" s="5">
        <v>-3.4155309477703101E-2</v>
      </c>
      <c r="AO143" s="5">
        <v>1.6831573790975499E-2</v>
      </c>
      <c r="AP143" s="5">
        <v>4.02269965174906E-2</v>
      </c>
      <c r="AQ143" s="5">
        <v>-3.0939274006242801E-2</v>
      </c>
      <c r="AR143" s="5">
        <v>-0.30539678923777402</v>
      </c>
      <c r="AS143" s="5">
        <v>0.40250686856127199</v>
      </c>
      <c r="AT143" s="5">
        <v>3.1047849463649201E-2</v>
      </c>
      <c r="AU143" s="5">
        <v>-0.10013512359354999</v>
      </c>
      <c r="AV143" s="5">
        <v>-0.41090923489018899</v>
      </c>
      <c r="AW143" s="5">
        <v>0.62329870757334505</v>
      </c>
      <c r="AX143" s="5">
        <v>-0.51010853962880998</v>
      </c>
      <c r="AY143" s="5">
        <v>0.73962625255764503</v>
      </c>
      <c r="AZ143" s="5">
        <v>-0.454242716042911</v>
      </c>
      <c r="BA143" s="5">
        <v>0.52755880185376403</v>
      </c>
      <c r="BB143" s="5">
        <v>-0.311444926339002</v>
      </c>
      <c r="BC143" s="5">
        <v>0.40239861012846301</v>
      </c>
      <c r="BD143" s="5">
        <v>5.3772569888740299E-3</v>
      </c>
      <c r="BE143" s="5">
        <v>-5.9019784374403798E-2</v>
      </c>
      <c r="BF143" s="5">
        <v>-0.29194115204473498</v>
      </c>
      <c r="BG143" s="5">
        <v>0.34539021325701402</v>
      </c>
      <c r="BH143" s="5">
        <v>-0.53333541990981503</v>
      </c>
      <c r="BI143" s="5">
        <v>0.73766450268255701</v>
      </c>
      <c r="BJ143" s="5">
        <v>0.25451077102140002</v>
      </c>
      <c r="BK143" s="5">
        <v>-0.41838996828865299</v>
      </c>
      <c r="BL143" s="5">
        <v>-4.6208768952142397E-2</v>
      </c>
      <c r="BM143" s="5">
        <v>4.2676179830693398E-2</v>
      </c>
      <c r="BN143" s="5">
        <v>0.12160677289360899</v>
      </c>
      <c r="BO143" s="5">
        <v>-0.21558868768702399</v>
      </c>
      <c r="BP143" s="5">
        <v>0.20111039474328901</v>
      </c>
      <c r="BQ143" s="5">
        <v>-0.399294784074048</v>
      </c>
      <c r="BR143" s="5">
        <v>-0.57131934337341095</v>
      </c>
      <c r="BS143" s="5">
        <v>0.74167526953085905</v>
      </c>
      <c r="BT143" s="5">
        <v>-0.50912639059005504</v>
      </c>
      <c r="BU143" s="5">
        <v>0.75261587721664802</v>
      </c>
      <c r="BV143" s="5">
        <v>-0.504274489020753</v>
      </c>
      <c r="BW143" s="5">
        <v>0.687822542296742</v>
      </c>
      <c r="BX143" s="5">
        <v>-0.47053771078291201</v>
      </c>
      <c r="BY143" s="5">
        <v>0.68934090175614804</v>
      </c>
      <c r="BZ143" s="5">
        <v>-0.56720030836000102</v>
      </c>
      <c r="CA143" s="5">
        <v>0.75547320323262102</v>
      </c>
      <c r="CB143" s="5">
        <v>-0.37027217716878802</v>
      </c>
      <c r="CC143" s="5">
        <v>0.52246346669492905</v>
      </c>
      <c r="CD143" s="5">
        <v>-0.196044954221894</v>
      </c>
      <c r="CE143" s="5">
        <v>0.234046306281182</v>
      </c>
      <c r="CF143" s="5">
        <v>-0.59203125403158896</v>
      </c>
      <c r="CG143" s="5">
        <v>0.69323538810450502</v>
      </c>
      <c r="CH143" s="5">
        <v>-7.2278456858442697E-2</v>
      </c>
      <c r="CI143" s="5">
        <v>0.109097198693571</v>
      </c>
      <c r="CJ143" s="5">
        <v>-0.109147549205224</v>
      </c>
      <c r="CK143" s="5">
        <v>9.5023223484653196E-2</v>
      </c>
      <c r="CL143" s="5">
        <v>3.7196992444334297E-2</v>
      </c>
      <c r="CM143" s="5">
        <v>-4.9856512262019301E-2</v>
      </c>
      <c r="CN143" s="5">
        <v>4.4691915020705401E-2</v>
      </c>
      <c r="CO143" s="5">
        <v>-6.8987141788003595E-2</v>
      </c>
      <c r="CP143" s="5">
        <v>-0.49354978599129501</v>
      </c>
      <c r="CQ143" s="5">
        <v>0.55914430636517598</v>
      </c>
      <c r="CR143" s="5">
        <v>-0.43719934037954999</v>
      </c>
      <c r="CS143" s="5">
        <v>0.514467101168538</v>
      </c>
      <c r="CT143" s="5">
        <v>3.5672012562140303E-2</v>
      </c>
      <c r="CU143" s="5">
        <v>-2.5637285385665998E-2</v>
      </c>
      <c r="CV143" s="5">
        <v>-0.44175262608529797</v>
      </c>
      <c r="CW143" s="5">
        <v>0.53411277638225296</v>
      </c>
      <c r="CX143" s="5">
        <v>-0.37607975996273901</v>
      </c>
      <c r="CY143" s="5">
        <v>0.46156705080430099</v>
      </c>
      <c r="CZ143" s="5">
        <v>-0.57630391931062097</v>
      </c>
      <c r="DA143" s="5">
        <v>0.71894098478441104</v>
      </c>
      <c r="DB143" s="5">
        <v>-0.177446253543871</v>
      </c>
      <c r="DC143" s="5">
        <v>0.102002911847104</v>
      </c>
      <c r="DD143" s="5">
        <v>-0.408924260008728</v>
      </c>
      <c r="DE143" s="5">
        <v>0.51124495465174302</v>
      </c>
      <c r="DF143" s="5">
        <v>-0.41578842886510697</v>
      </c>
      <c r="DG143" s="5">
        <v>0.50839640944277498</v>
      </c>
      <c r="DH143" s="5">
        <v>-0.19095322740001899</v>
      </c>
      <c r="DI143" s="5">
        <v>0.23897705372531899</v>
      </c>
      <c r="DJ143" s="5">
        <v>7.3035338955077703E-2</v>
      </c>
      <c r="DK143" s="5">
        <v>-5.2227033383153001E-2</v>
      </c>
      <c r="DL143" s="5">
        <v>-0.40819914635726101</v>
      </c>
      <c r="DM143" s="5">
        <v>0.55531440960267398</v>
      </c>
      <c r="DN143" s="5">
        <v>0.106655975102217</v>
      </c>
      <c r="DO143" s="5">
        <v>-8.3314608261801607E-2</v>
      </c>
      <c r="DP143" s="5">
        <v>0.10939364423473399</v>
      </c>
      <c r="DQ143" s="5">
        <v>-0.17361472724961499</v>
      </c>
      <c r="DR143" s="5">
        <v>-3.0592485506291699E-2</v>
      </c>
      <c r="DS143" s="5">
        <v>1.57684265619948E-2</v>
      </c>
      <c r="DT143" s="5">
        <v>-0.33544370178288302</v>
      </c>
      <c r="DU143" s="5">
        <v>0.344047526814455</v>
      </c>
      <c r="DV143" s="5">
        <v>-0.41802907228493003</v>
      </c>
      <c r="DW143" s="5">
        <v>0.60071551845772697</v>
      </c>
      <c r="DX143" s="5">
        <v>0.100463929917746</v>
      </c>
      <c r="DY143" s="5">
        <v>-9.9751376070078904E-2</v>
      </c>
      <c r="DZ143" s="5">
        <v>-2.5279597403245799E-2</v>
      </c>
      <c r="EA143" s="5">
        <v>4.5887828698547399E-2</v>
      </c>
      <c r="EB143" s="5">
        <v>-0.61260356083314704</v>
      </c>
      <c r="EC143" s="5">
        <v>0.76765674709212395</v>
      </c>
      <c r="ED143" s="5">
        <v>-0.54302351898087597</v>
      </c>
      <c r="EE143" s="5">
        <v>0.69711139917661602</v>
      </c>
      <c r="EF143" s="5">
        <v>-0.44339283716304001</v>
      </c>
      <c r="EG143" s="5">
        <v>0.50801057681315198</v>
      </c>
      <c r="EH143" s="5">
        <v>-0.43597189790395802</v>
      </c>
      <c r="EI143" s="5">
        <v>0.55409287324607803</v>
      </c>
      <c r="EJ143" s="5">
        <v>-0.45548693693600101</v>
      </c>
      <c r="EK143" s="5">
        <v>0.57852442839819596</v>
      </c>
      <c r="EL143" s="5">
        <v>-0.76445852471995202</v>
      </c>
      <c r="EM143" s="5">
        <v>1</v>
      </c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</row>
    <row r="144" spans="1:389" x14ac:dyDescent="0.45">
      <c r="A144" s="4" t="str">
        <f ca="1">"GRC / beta1dist in "&amp;CELL("address",'damages-1990'!$J$73)</f>
        <v>GRC / beta1dist in '[BHM betas v3pd.xlsx]damages-1990'!$J$73</v>
      </c>
      <c r="B144" s="6">
        <v>0.45063476246947098</v>
      </c>
      <c r="C144" s="5">
        <v>-1.1655996709004799E-2</v>
      </c>
      <c r="D144" s="5">
        <v>0.128090450661033</v>
      </c>
      <c r="E144" s="5">
        <v>0.18949744176223801</v>
      </c>
      <c r="F144" s="5">
        <v>0.68864052595575898</v>
      </c>
      <c r="G144" s="5">
        <v>-0.45773776761829699</v>
      </c>
      <c r="H144" s="5">
        <v>7.4897522093687705E-2</v>
      </c>
      <c r="I144" s="5">
        <v>6.3441015069367293E-2</v>
      </c>
      <c r="J144" s="5">
        <v>0.32907568397251802</v>
      </c>
      <c r="K144" s="5">
        <v>-0.104812335773159</v>
      </c>
      <c r="L144" s="5">
        <v>0.48096068944518899</v>
      </c>
      <c r="M144" s="5">
        <v>-0.151011611917443</v>
      </c>
      <c r="N144" s="5">
        <v>0.119608550209248</v>
      </c>
      <c r="O144" s="5">
        <v>0.16197832803059301</v>
      </c>
      <c r="P144" s="5">
        <v>-0.110164904118924</v>
      </c>
      <c r="Q144" s="5">
        <v>0.28811272922814302</v>
      </c>
      <c r="R144" s="5">
        <v>0.414888333745833</v>
      </c>
      <c r="S144" s="5">
        <v>-0.106852328948334</v>
      </c>
      <c r="T144" s="5">
        <v>-1.1530100195977999E-2</v>
      </c>
      <c r="U144" s="5">
        <v>0.18946207709071</v>
      </c>
      <c r="V144" s="5">
        <v>0.50359968660690002</v>
      </c>
      <c r="W144" s="5">
        <v>-8.0863858220312307E-2</v>
      </c>
      <c r="X144" s="5">
        <v>0.16716367284920799</v>
      </c>
      <c r="Y144" s="5">
        <v>0.15829123347431101</v>
      </c>
      <c r="Z144" s="5">
        <v>0.26745981159150201</v>
      </c>
      <c r="AA144" s="5">
        <v>-1.05764614089458E-2</v>
      </c>
      <c r="AB144" s="5">
        <v>0.114777430554132</v>
      </c>
      <c r="AC144" s="5">
        <v>0.11027929025677299</v>
      </c>
      <c r="AD144" s="5">
        <v>0.157158290118637</v>
      </c>
      <c r="AE144" s="5">
        <v>9.2914176682989694E-2</v>
      </c>
      <c r="AF144" s="5">
        <v>0.14359289237783299</v>
      </c>
      <c r="AG144" s="5">
        <v>9.1829521805565695E-2</v>
      </c>
      <c r="AH144" s="5">
        <v>0.54300394402788499</v>
      </c>
      <c r="AI144" s="5">
        <v>-0.28423127337709803</v>
      </c>
      <c r="AJ144" s="5">
        <v>0.31733871469355102</v>
      </c>
      <c r="AK144" s="5">
        <v>-9.8422325170073696E-2</v>
      </c>
      <c r="AL144" s="5">
        <v>0.25755164163170802</v>
      </c>
      <c r="AM144" s="5">
        <v>-0.14376761786671</v>
      </c>
      <c r="AN144" s="5">
        <v>0.27039147862788698</v>
      </c>
      <c r="AO144" s="5">
        <v>3.14656959404653E-3</v>
      </c>
      <c r="AP144" s="5">
        <v>0.109108968616415</v>
      </c>
      <c r="AQ144" s="5">
        <v>5.6534380494465901E-2</v>
      </c>
      <c r="AR144" s="5">
        <v>0.24107204857039799</v>
      </c>
      <c r="AS144" s="5">
        <v>-5.5416619024843503E-2</v>
      </c>
      <c r="AT144" s="5">
        <v>0.23268409795827399</v>
      </c>
      <c r="AU144" s="5">
        <v>-9.7489048789105595E-2</v>
      </c>
      <c r="AV144" s="5">
        <v>0.35242380980848198</v>
      </c>
      <c r="AW144" s="5">
        <v>-7.0365282803596899E-2</v>
      </c>
      <c r="AX144" s="5">
        <v>0.22933360446881401</v>
      </c>
      <c r="AY144" s="5">
        <v>3.7535354985864001E-2</v>
      </c>
      <c r="AZ144" s="5">
        <v>-9.9378642875437698E-2</v>
      </c>
      <c r="BA144" s="5">
        <v>0.24529321586665101</v>
      </c>
      <c r="BB144" s="5">
        <v>0.36365056588370698</v>
      </c>
      <c r="BC144" s="5">
        <v>-8.3622271139978596E-2</v>
      </c>
      <c r="BD144" s="5">
        <v>0.47084642175582098</v>
      </c>
      <c r="BE144" s="5">
        <v>-5.3088323006015001E-2</v>
      </c>
      <c r="BF144" s="5">
        <v>2.2784322816697501E-2</v>
      </c>
      <c r="BG144" s="5">
        <v>0.25040349664510803</v>
      </c>
      <c r="BH144" s="5">
        <v>0.19168885780384701</v>
      </c>
      <c r="BI144" s="5">
        <v>9.01098171099943E-2</v>
      </c>
      <c r="BJ144" s="5">
        <v>-9.7544753373815393E-2</v>
      </c>
      <c r="BK144" s="5">
        <v>0.19494420766781601</v>
      </c>
      <c r="BL144" s="5">
        <v>-1.4122543356501101E-3</v>
      </c>
      <c r="BM144" s="5">
        <v>0.16454896622238599</v>
      </c>
      <c r="BN144" s="5">
        <v>0.29327517428483102</v>
      </c>
      <c r="BO144" s="5">
        <v>3.8815197347649098E-4</v>
      </c>
      <c r="BP144" s="5">
        <v>0.26792800527052602</v>
      </c>
      <c r="BQ144" s="5">
        <v>-8.9634974066728698E-3</v>
      </c>
      <c r="BR144" s="5">
        <v>0.19544756727249801</v>
      </c>
      <c r="BS144" s="5">
        <v>6.7602615251404596E-2</v>
      </c>
      <c r="BT144" s="5">
        <v>0.30469262453509599</v>
      </c>
      <c r="BU144" s="5">
        <v>-1.8220909163646101E-2</v>
      </c>
      <c r="BV144" s="5">
        <v>0.273693240229893</v>
      </c>
      <c r="BW144" s="5">
        <v>-4.3967351383811102E-4</v>
      </c>
      <c r="BX144" s="5">
        <v>0.28257805600736902</v>
      </c>
      <c r="BY144" s="5">
        <v>-3.9689243031086202E-2</v>
      </c>
      <c r="BZ144" s="5">
        <v>0.261698955286784</v>
      </c>
      <c r="CA144" s="5">
        <v>-3.3458913387804999E-3</v>
      </c>
      <c r="CB144" s="5">
        <v>0.19351246377086201</v>
      </c>
      <c r="CC144" s="5">
        <v>-4.0220944237116599E-2</v>
      </c>
      <c r="CD144" s="5">
        <v>3.3399064476406497E-2</v>
      </c>
      <c r="CE144" s="5">
        <v>0.193649480230661</v>
      </c>
      <c r="CF144" s="5">
        <v>-2.9342761717935598E-2</v>
      </c>
      <c r="CG144" s="5">
        <v>0.18300311182978499</v>
      </c>
      <c r="CH144" s="5">
        <v>0.21927513170471499</v>
      </c>
      <c r="CI144" s="5">
        <v>-9.7322720252867798E-2</v>
      </c>
      <c r="CJ144" s="5">
        <v>0.64928536855438401</v>
      </c>
      <c r="CK144" s="5">
        <v>-0.51607778937629101</v>
      </c>
      <c r="CL144" s="5">
        <v>0.111807140014788</v>
      </c>
      <c r="CM144" s="5">
        <v>9.8139154225185807E-2</v>
      </c>
      <c r="CN144" s="5">
        <v>0.20534736842510001</v>
      </c>
      <c r="CO144" s="5">
        <v>3.0473638980390901E-2</v>
      </c>
      <c r="CP144" s="5">
        <v>5.1365373592968701E-2</v>
      </c>
      <c r="CQ144" s="5">
        <v>0.109965258954991</v>
      </c>
      <c r="CR144" s="5">
        <v>-6.5171901231845394E-2</v>
      </c>
      <c r="CS144" s="5">
        <v>0.26121814233230101</v>
      </c>
      <c r="CT144" s="5">
        <v>0.13741040640757299</v>
      </c>
      <c r="CU144" s="5">
        <v>3.3074248287121397E-2</v>
      </c>
      <c r="CV144" s="5">
        <v>5.5367210451791098E-2</v>
      </c>
      <c r="CW144" s="5">
        <v>0.14287418349872799</v>
      </c>
      <c r="CX144" s="5">
        <v>0.42219403650969001</v>
      </c>
      <c r="CY144" s="5">
        <v>-0.16111013667239901</v>
      </c>
      <c r="CZ144" s="5">
        <v>0.19844350221074999</v>
      </c>
      <c r="DA144" s="5">
        <v>7.8214570288452107E-2</v>
      </c>
      <c r="DB144" s="5">
        <v>0.48239596371344901</v>
      </c>
      <c r="DC144" s="5">
        <v>-0.26127810274761298</v>
      </c>
      <c r="DD144" s="5">
        <v>6.4899981916866398E-2</v>
      </c>
      <c r="DE144" s="5">
        <v>0.15093808652510901</v>
      </c>
      <c r="DF144" s="5">
        <v>0.17521991437901999</v>
      </c>
      <c r="DG144" s="5">
        <v>7.8528152869840995E-2</v>
      </c>
      <c r="DH144" s="5">
        <v>0.47080747740857498</v>
      </c>
      <c r="DI144" s="5">
        <v>-0.120414045978171</v>
      </c>
      <c r="DJ144" s="5">
        <v>0.103715031845688</v>
      </c>
      <c r="DK144" s="5">
        <v>3.21645480894754E-2</v>
      </c>
      <c r="DL144" s="5">
        <v>0.149982927405375</v>
      </c>
      <c r="DM144" s="5">
        <v>0.13148113585604801</v>
      </c>
      <c r="DN144" s="5">
        <v>4.7441043571157498E-2</v>
      </c>
      <c r="DO144" s="5">
        <v>5.5754892629800899E-2</v>
      </c>
      <c r="DP144" s="5">
        <v>0.34770554025268802</v>
      </c>
      <c r="DQ144" s="5">
        <v>-0.109724469398083</v>
      </c>
      <c r="DR144" s="5">
        <v>0.40917840537087302</v>
      </c>
      <c r="DS144" s="5">
        <v>-0.100948515846033</v>
      </c>
      <c r="DT144" s="5">
        <v>0.207712858719653</v>
      </c>
      <c r="DU144" s="5">
        <v>-8.0584080126565205E-2</v>
      </c>
      <c r="DV144" s="5">
        <v>0.23239232941753801</v>
      </c>
      <c r="DW144" s="5">
        <v>-9.00473400855171E-3</v>
      </c>
      <c r="DX144" s="5">
        <v>0.193565722393369</v>
      </c>
      <c r="DY144" s="5">
        <v>8.6002533745375993E-3</v>
      </c>
      <c r="DZ144" s="5">
        <v>0.17707337034529799</v>
      </c>
      <c r="EA144" s="5">
        <v>0.13319425539185001</v>
      </c>
      <c r="EB144" s="5">
        <v>0.16331676715636501</v>
      </c>
      <c r="EC144" s="5">
        <v>7.5389074345953697E-2</v>
      </c>
      <c r="ED144" s="5">
        <v>0.20928183319510099</v>
      </c>
      <c r="EE144" s="5">
        <v>8.83796544622652E-2</v>
      </c>
      <c r="EF144" s="5">
        <v>-0.107096389323608</v>
      </c>
      <c r="EG144" s="5">
        <v>0.28548963140450501</v>
      </c>
      <c r="EH144" s="5">
        <v>0.160714773948958</v>
      </c>
      <c r="EI144" s="5">
        <v>0.12128181373045401</v>
      </c>
      <c r="EJ144" s="5">
        <v>0.16902727002368201</v>
      </c>
      <c r="EK144" s="5">
        <v>0.13662955950309</v>
      </c>
      <c r="EL144" s="5">
        <v>0.28907206169600902</v>
      </c>
      <c r="EM144" s="5">
        <v>-4.2882040850588499E-2</v>
      </c>
      <c r="EN144" s="5">
        <v>1</v>
      </c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</row>
    <row r="145" spans="1:389" x14ac:dyDescent="0.45">
      <c r="A145" s="4" t="str">
        <f ca="1">"GRC / beta2dist in "&amp;CELL("address",'damages-1990'!$K$73)</f>
        <v>GRC / beta2dist in '[BHM betas v3pd.xlsx]damages-1990'!$K$73</v>
      </c>
      <c r="B145" s="6">
        <v>-0.120731865400782</v>
      </c>
      <c r="C145" s="5">
        <v>7.5760433626871501E-2</v>
      </c>
      <c r="D145" s="5">
        <v>0.18792951879492201</v>
      </c>
      <c r="E145" s="5">
        <v>-0.21620975667067899</v>
      </c>
      <c r="F145" s="5">
        <v>-0.46728724945474698</v>
      </c>
      <c r="G145" s="5">
        <v>0.60020283844566802</v>
      </c>
      <c r="H145" s="5">
        <v>-0.11435061143729</v>
      </c>
      <c r="I145" s="5">
        <v>3.62697275882507E-2</v>
      </c>
      <c r="J145" s="5">
        <v>-5.7944254827003397E-2</v>
      </c>
      <c r="K145" s="5">
        <v>0.14135102842340799</v>
      </c>
      <c r="L145" s="5">
        <v>-0.13385379689155899</v>
      </c>
      <c r="M145" s="5">
        <v>0.17463548078539001</v>
      </c>
      <c r="N145" s="5">
        <v>4.1727785420282E-2</v>
      </c>
      <c r="O145" s="5">
        <v>-0.21497650870193799</v>
      </c>
      <c r="P145" s="5">
        <v>0.32539830409210602</v>
      </c>
      <c r="Q145" s="5">
        <v>-0.35219318470948102</v>
      </c>
      <c r="R145" s="5">
        <v>-0.14173860401116001</v>
      </c>
      <c r="S145" s="5">
        <v>0.14225495396312801</v>
      </c>
      <c r="T145" s="5">
        <v>9.8665961746108199E-2</v>
      </c>
      <c r="U145" s="5">
        <v>-0.18776599654215401</v>
      </c>
      <c r="V145" s="5">
        <v>-0.17424214406907401</v>
      </c>
      <c r="W145" s="5">
        <v>0.13397354064811701</v>
      </c>
      <c r="X145" s="5">
        <v>0.14115392004133101</v>
      </c>
      <c r="Y145" s="5">
        <v>-0.157918019697076</v>
      </c>
      <c r="Z145" s="5">
        <v>-0.106451466523767</v>
      </c>
      <c r="AA145" s="5">
        <v>5.6314537386377303E-2</v>
      </c>
      <c r="AB145" s="5">
        <v>8.1148334096043606E-2</v>
      </c>
      <c r="AC145" s="5">
        <v>-0.126523102373403</v>
      </c>
      <c r="AD145" s="5">
        <v>1.09471826128918E-2</v>
      </c>
      <c r="AE145" s="5">
        <v>-6.7292536220906404E-2</v>
      </c>
      <c r="AF145" s="5">
        <v>0.20610317122772201</v>
      </c>
      <c r="AG145" s="5">
        <v>-0.222918348209453</v>
      </c>
      <c r="AH145" s="5">
        <v>-0.34952721395536201</v>
      </c>
      <c r="AI145" s="5">
        <v>0.40683377929474801</v>
      </c>
      <c r="AJ145" s="5">
        <v>-7.8627898948924801E-2</v>
      </c>
      <c r="AK145" s="5">
        <v>0.16334744122537301</v>
      </c>
      <c r="AL145" s="5">
        <v>-7.70019743499782E-2</v>
      </c>
      <c r="AM145" s="5">
        <v>0.14377644365858799</v>
      </c>
      <c r="AN145" s="5">
        <v>-8.7731377089070098E-2</v>
      </c>
      <c r="AO145" s="5">
        <v>3.08994959706929E-2</v>
      </c>
      <c r="AP145" s="5">
        <v>-0.102667868189426</v>
      </c>
      <c r="AQ145" s="5">
        <v>3.2928952278257699E-2</v>
      </c>
      <c r="AR145" s="5">
        <v>4.1720505577135199E-2</v>
      </c>
      <c r="AS145" s="5">
        <v>-2.39877720771676E-3</v>
      </c>
      <c r="AT145" s="5">
        <v>-6.0245861601772498E-2</v>
      </c>
      <c r="AU145" s="5">
        <v>9.0474187450313701E-2</v>
      </c>
      <c r="AV145" s="5">
        <v>-1.49016369315317E-2</v>
      </c>
      <c r="AW145" s="5">
        <v>2.8505710846231599E-2</v>
      </c>
      <c r="AX145" s="5">
        <v>9.1323040001393893E-2</v>
      </c>
      <c r="AY145" s="5">
        <v>-8.5853816368595695E-2</v>
      </c>
      <c r="AZ145" s="5">
        <v>0.33949584295285001</v>
      </c>
      <c r="BA145" s="5">
        <v>-0.33568468256102701</v>
      </c>
      <c r="BB145" s="5">
        <v>-0.14431832262347499</v>
      </c>
      <c r="BC145" s="5">
        <v>0.13193252932567101</v>
      </c>
      <c r="BD145" s="5">
        <v>-0.232286202763345</v>
      </c>
      <c r="BE145" s="5">
        <v>0.207277422255567</v>
      </c>
      <c r="BF145" s="5">
        <v>0.26459297561151301</v>
      </c>
      <c r="BG145" s="5">
        <v>-0.305268569903765</v>
      </c>
      <c r="BH145" s="5">
        <v>0.116713371522911</v>
      </c>
      <c r="BI145" s="5">
        <v>-0.143392452377437</v>
      </c>
      <c r="BJ145" s="5">
        <v>4.12688017014399E-2</v>
      </c>
      <c r="BK145" s="5">
        <v>-0.20765832312579599</v>
      </c>
      <c r="BL145" s="5">
        <v>5.00185260469138E-2</v>
      </c>
      <c r="BM145" s="5">
        <v>-0.145495641003379</v>
      </c>
      <c r="BN145" s="5">
        <v>-0.132236290490611</v>
      </c>
      <c r="BO145" s="5">
        <v>4.1056122429845097E-2</v>
      </c>
      <c r="BP145" s="5">
        <v>-0.19741721177075999</v>
      </c>
      <c r="BQ145" s="5">
        <v>0.14853198828669101</v>
      </c>
      <c r="BR145" s="5">
        <v>-5.2639377347798499E-2</v>
      </c>
      <c r="BS145" s="5">
        <v>-2.6160748350335699E-2</v>
      </c>
      <c r="BT145" s="5">
        <v>-1.6066082123533301E-2</v>
      </c>
      <c r="BU145" s="5">
        <v>5.03212388871909E-3</v>
      </c>
      <c r="BV145" s="5">
        <v>-2.9516352541731999E-2</v>
      </c>
      <c r="BW145" s="5">
        <v>3.3377649705258798E-2</v>
      </c>
      <c r="BX145" s="5">
        <v>-8.9354549992058094E-2</v>
      </c>
      <c r="BY145" s="5">
        <v>8.0795069047057994E-2</v>
      </c>
      <c r="BZ145" s="5">
        <v>-2.42554817430118E-2</v>
      </c>
      <c r="CA145" s="5">
        <v>-2.2473282080432401E-4</v>
      </c>
      <c r="CB145" s="5">
        <v>-4.8909418062006597E-2</v>
      </c>
      <c r="CC145" s="5">
        <v>8.8509765857379699E-2</v>
      </c>
      <c r="CD145" s="5">
        <v>0.16936894978918601</v>
      </c>
      <c r="CE145" s="5">
        <v>-0.243881942564802</v>
      </c>
      <c r="CF145" s="5">
        <v>0.31455924278342101</v>
      </c>
      <c r="CG145" s="5">
        <v>-0.29209486116355499</v>
      </c>
      <c r="CH145" s="5">
        <v>-3.5604050680678602E-2</v>
      </c>
      <c r="CI145" s="5">
        <v>6.2521601671833807E-2</v>
      </c>
      <c r="CJ145" s="5">
        <v>-0.45310618297588601</v>
      </c>
      <c r="CK145" s="5">
        <v>0.636685238493507</v>
      </c>
      <c r="CL145" s="5">
        <v>3.63275251722096E-3</v>
      </c>
      <c r="CM145" s="5">
        <v>-7.7457294191060302E-2</v>
      </c>
      <c r="CN145" s="5">
        <v>-7.5610107206757704E-2</v>
      </c>
      <c r="CO145" s="5">
        <v>1.13572784333184E-2</v>
      </c>
      <c r="CP145" s="5">
        <v>0.121470312464052</v>
      </c>
      <c r="CQ145" s="5">
        <v>-0.118017782961442</v>
      </c>
      <c r="CR145" s="5">
        <v>0.30769385865300902</v>
      </c>
      <c r="CS145" s="5">
        <v>-0.33149056509635899</v>
      </c>
      <c r="CT145" s="5">
        <v>-6.7858268510022607E-2</v>
      </c>
      <c r="CU145" s="5">
        <v>5.7854227063458196E-3</v>
      </c>
      <c r="CV145" s="5">
        <v>6.2505966125206702E-2</v>
      </c>
      <c r="CW145" s="5">
        <v>-7.6072149883065807E-2</v>
      </c>
      <c r="CX145" s="5">
        <v>-0.161424436257989</v>
      </c>
      <c r="CY145" s="5">
        <v>0.205384341226683</v>
      </c>
      <c r="CZ145" s="5">
        <v>5.4677596297346497E-2</v>
      </c>
      <c r="DA145" s="5">
        <v>-9.8689154626306203E-2</v>
      </c>
      <c r="DB145" s="5">
        <v>-0.19149600171089001</v>
      </c>
      <c r="DC145" s="5">
        <v>0.33102509606522101</v>
      </c>
      <c r="DD145" s="5">
        <v>0.13376891062979601</v>
      </c>
      <c r="DE145" s="5">
        <v>-0.127845207118612</v>
      </c>
      <c r="DF145" s="5">
        <v>0.154941274153756</v>
      </c>
      <c r="DG145" s="5">
        <v>-0.16525323261554101</v>
      </c>
      <c r="DH145" s="5">
        <v>-0.132543330997033</v>
      </c>
      <c r="DI145" s="5">
        <v>0.15518613524907299</v>
      </c>
      <c r="DJ145" s="5">
        <v>-0.12723559384465799</v>
      </c>
      <c r="DK145" s="5">
        <v>6.0220093714533601E-2</v>
      </c>
      <c r="DL145" s="5">
        <v>0.15063650189747199</v>
      </c>
      <c r="DM145" s="5">
        <v>-0.14733054331453299</v>
      </c>
      <c r="DN145" s="5">
        <v>-0.113559043226918</v>
      </c>
      <c r="DO145" s="5">
        <v>2.8228297924757902E-2</v>
      </c>
      <c r="DP145" s="5">
        <v>-0.165229180779778</v>
      </c>
      <c r="DQ145" s="5">
        <v>0.157130626683821</v>
      </c>
      <c r="DR145" s="5">
        <v>-0.17669767344527401</v>
      </c>
      <c r="DS145" s="5">
        <v>0.15390017279719501</v>
      </c>
      <c r="DT145" s="5">
        <v>-8.4292956775232797E-2</v>
      </c>
      <c r="DU145" s="5">
        <v>8.6212336695441705E-2</v>
      </c>
      <c r="DV145" s="5">
        <v>-0.13848725317254101</v>
      </c>
      <c r="DW145" s="5">
        <v>0.110499056325884</v>
      </c>
      <c r="DX145" s="5">
        <v>-0.137080786841487</v>
      </c>
      <c r="DY145" s="5">
        <v>7.6546810955078398E-2</v>
      </c>
      <c r="DZ145" s="5">
        <v>-1.23121996286407E-2</v>
      </c>
      <c r="EA145" s="5">
        <v>-0.16249597026852799</v>
      </c>
      <c r="EB145" s="5">
        <v>3.5164435927753403E-2</v>
      </c>
      <c r="EC145" s="5">
        <v>-6.2509312048308494E-2</v>
      </c>
      <c r="ED145" s="5">
        <v>2.09731594412245E-2</v>
      </c>
      <c r="EE145" s="5">
        <v>-9.1887813393704498E-2</v>
      </c>
      <c r="EF145" s="5">
        <v>0.33025079280620401</v>
      </c>
      <c r="EG145" s="5">
        <v>-0.35115439160203499</v>
      </c>
      <c r="EH145" s="5">
        <v>0.115972093383637</v>
      </c>
      <c r="EI145" s="5">
        <v>-0.14345053752387199</v>
      </c>
      <c r="EJ145" s="5">
        <v>8.7445691490713504E-2</v>
      </c>
      <c r="EK145" s="5">
        <v>-0.143886534076164</v>
      </c>
      <c r="EL145" s="5">
        <v>-4.18806449944079E-3</v>
      </c>
      <c r="EM145" s="5">
        <v>-1.02579667222195E-2</v>
      </c>
      <c r="EN145" s="5">
        <v>-0.81383292783693595</v>
      </c>
      <c r="EO145" s="5">
        <v>1</v>
      </c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</row>
    <row r="146" spans="1:389" x14ac:dyDescent="0.45">
      <c r="A146" s="4" t="str">
        <f ca="1">"GRD / beta1dist in "&amp;CELL("address",'damages-1990'!$J$74)</f>
        <v>GRD / beta1dist in '[BHM betas v3pd.xlsx]damages-1990'!$J$74</v>
      </c>
      <c r="B146" s="6">
        <v>0.140990653217407</v>
      </c>
      <c r="C146" s="5">
        <v>1.6313679922727701E-2</v>
      </c>
      <c r="D146" s="5">
        <v>0.52182995377772101</v>
      </c>
      <c r="E146" s="5">
        <v>-0.42144122925754102</v>
      </c>
      <c r="F146" s="5">
        <v>7.6153639360663605E-2</v>
      </c>
      <c r="G146" s="5">
        <v>5.8220952156020203E-2</v>
      </c>
      <c r="H146" s="5">
        <v>-6.9799182583599406E-2</v>
      </c>
      <c r="I146" s="5">
        <v>5.3850779262278603E-2</v>
      </c>
      <c r="J146" s="5">
        <v>0.40917389482084998</v>
      </c>
      <c r="K146" s="5">
        <v>-0.28500203655897</v>
      </c>
      <c r="L146" s="5">
        <v>0.19542758694403101</v>
      </c>
      <c r="M146" s="5">
        <v>8.8620420731169002E-3</v>
      </c>
      <c r="N146" s="5">
        <v>0.114231387233572</v>
      </c>
      <c r="O146" s="5">
        <v>-0.17060478733541901</v>
      </c>
      <c r="P146" s="5">
        <v>0.65659327499868902</v>
      </c>
      <c r="Q146" s="5">
        <v>-0.56690767614012905</v>
      </c>
      <c r="R146" s="5">
        <v>0.37035228245124302</v>
      </c>
      <c r="S146" s="5">
        <v>-0.285502721396723</v>
      </c>
      <c r="T146" s="5">
        <v>0.25901849458764398</v>
      </c>
      <c r="U146" s="5">
        <v>-0.31634307001927697</v>
      </c>
      <c r="V146" s="5">
        <v>0.108296969106109</v>
      </c>
      <c r="W146" s="5">
        <v>8.0209687799549401E-2</v>
      </c>
      <c r="X146" s="5">
        <v>0.44877313243594102</v>
      </c>
      <c r="Y146" s="5">
        <v>-0.33161508034467602</v>
      </c>
      <c r="Z146" s="5">
        <v>7.1206019052115696E-2</v>
      </c>
      <c r="AA146" s="5">
        <v>-4.7781813744553002E-2</v>
      </c>
      <c r="AB146" s="5">
        <v>0.51265174228891996</v>
      </c>
      <c r="AC146" s="5">
        <v>-0.49333255175393498</v>
      </c>
      <c r="AD146" s="5">
        <v>0.50586310063194995</v>
      </c>
      <c r="AE146" s="5">
        <v>-0.444360531236006</v>
      </c>
      <c r="AF146" s="5">
        <v>0.31189208783644901</v>
      </c>
      <c r="AG146" s="5">
        <v>-0.239489060486231</v>
      </c>
      <c r="AH146" s="5">
        <v>0.110708570142257</v>
      </c>
      <c r="AI146" s="5">
        <v>-2.88044396496226E-2</v>
      </c>
      <c r="AJ146" s="5">
        <v>0.33141996802500001</v>
      </c>
      <c r="AK146" s="5">
        <v>-0.18608672165219201</v>
      </c>
      <c r="AL146" s="5">
        <v>2.3070794970429E-2</v>
      </c>
      <c r="AM146" s="5">
        <v>0.119424942264927</v>
      </c>
      <c r="AN146" s="5">
        <v>0.18358072510753201</v>
      </c>
      <c r="AO146" s="5">
        <v>-0.19217899267602301</v>
      </c>
      <c r="AP146" s="5">
        <v>-2.2774795301593199E-2</v>
      </c>
      <c r="AQ146" s="5">
        <v>2.8006722038107001E-2</v>
      </c>
      <c r="AR146" s="5">
        <v>0.31691219730965903</v>
      </c>
      <c r="AS146" s="5">
        <v>-0.20909653697769101</v>
      </c>
      <c r="AT146" s="5">
        <v>-8.7381932267350901E-2</v>
      </c>
      <c r="AU146" s="5">
        <v>0.20243930284372599</v>
      </c>
      <c r="AV146" s="5">
        <v>0.45584006368079699</v>
      </c>
      <c r="AW146" s="5">
        <v>-0.43960818085282799</v>
      </c>
      <c r="AX146" s="5">
        <v>0.53162949806286797</v>
      </c>
      <c r="AY146" s="5">
        <v>-0.52671456280965301</v>
      </c>
      <c r="AZ146" s="5">
        <v>0.85878901012146303</v>
      </c>
      <c r="BA146" s="5">
        <v>-0.74498224919176004</v>
      </c>
      <c r="BB146" s="5">
        <v>0.35819911507538699</v>
      </c>
      <c r="BC146" s="5">
        <v>-0.27386473132517403</v>
      </c>
      <c r="BD146" s="5">
        <v>3.0611049618913502E-2</v>
      </c>
      <c r="BE146" s="5">
        <v>0.139089992182235</v>
      </c>
      <c r="BF146" s="5">
        <v>0.57228381121720995</v>
      </c>
      <c r="BG146" s="5">
        <v>-0.494434687439471</v>
      </c>
      <c r="BH146" s="5">
        <v>0.53670258861540698</v>
      </c>
      <c r="BI146" s="5">
        <v>-0.49702986786485398</v>
      </c>
      <c r="BJ146" s="5">
        <v>-0.16572253316400901</v>
      </c>
      <c r="BK146" s="5">
        <v>0.184526085069282</v>
      </c>
      <c r="BL146" s="5">
        <v>0.27799410956174903</v>
      </c>
      <c r="BM146" s="5">
        <v>-0.35119924157792298</v>
      </c>
      <c r="BN146" s="5">
        <v>-0.10209032516899801</v>
      </c>
      <c r="BO146" s="5">
        <v>0.17643286411377701</v>
      </c>
      <c r="BP146" s="5">
        <v>-0.19988817837900599</v>
      </c>
      <c r="BQ146" s="5">
        <v>0.38662564190086801</v>
      </c>
      <c r="BR146" s="5">
        <v>0.50865158745841699</v>
      </c>
      <c r="BS146" s="5">
        <v>-0.46926697715662302</v>
      </c>
      <c r="BT146" s="5">
        <v>0.53713008845952004</v>
      </c>
      <c r="BU146" s="5">
        <v>-0.50618269018168605</v>
      </c>
      <c r="BV146" s="5">
        <v>0.42125892166433598</v>
      </c>
      <c r="BW146" s="5">
        <v>-0.33843308422717699</v>
      </c>
      <c r="BX146" s="5">
        <v>0.34197415163205902</v>
      </c>
      <c r="BY146" s="5">
        <v>-0.28761970073188098</v>
      </c>
      <c r="BZ146" s="5">
        <v>0.45205477781331299</v>
      </c>
      <c r="CA146" s="5">
        <v>-0.41943886587469498</v>
      </c>
      <c r="CB146" s="5">
        <v>0.204018024600153</v>
      </c>
      <c r="CC146" s="5">
        <v>-0.20596635603734501</v>
      </c>
      <c r="CD146" s="5">
        <v>0.42300581029593898</v>
      </c>
      <c r="CE146" s="5">
        <v>-0.39639200156593302</v>
      </c>
      <c r="CF146" s="5">
        <v>0.56061880704799005</v>
      </c>
      <c r="CG146" s="5">
        <v>-0.474771112223281</v>
      </c>
      <c r="CH146" s="5">
        <v>2.6159299131722599E-2</v>
      </c>
      <c r="CI146" s="5">
        <v>8.0324171271941303E-2</v>
      </c>
      <c r="CJ146" s="5">
        <v>-9.5371452196991502E-2</v>
      </c>
      <c r="CK146" s="5">
        <v>0.28573673799474802</v>
      </c>
      <c r="CL146" s="5">
        <v>0.18688475593109599</v>
      </c>
      <c r="CM146" s="5">
        <v>-0.20757217617971099</v>
      </c>
      <c r="CN146" s="5">
        <v>9.9674681132977894E-2</v>
      </c>
      <c r="CO146" s="5">
        <v>-9.24940587323448E-2</v>
      </c>
      <c r="CP146" s="5">
        <v>0.47882304537045201</v>
      </c>
      <c r="CQ146" s="5">
        <v>-0.39589359144849501</v>
      </c>
      <c r="CR146" s="5">
        <v>0.72158006669418295</v>
      </c>
      <c r="CS146" s="5">
        <v>-0.61213809079142401</v>
      </c>
      <c r="CT146" s="5">
        <v>2.9093584042532799E-2</v>
      </c>
      <c r="CU146" s="5">
        <v>-2.08595062071745E-2</v>
      </c>
      <c r="CV146" s="5">
        <v>0.54744548893880696</v>
      </c>
      <c r="CW146" s="5">
        <v>-0.444156919516357</v>
      </c>
      <c r="CX146" s="5">
        <v>0.35914498465498501</v>
      </c>
      <c r="CY146" s="5">
        <v>-0.21834039715364001</v>
      </c>
      <c r="CZ146" s="5">
        <v>0.461284819692726</v>
      </c>
      <c r="DA146" s="5">
        <v>-0.42721995101940702</v>
      </c>
      <c r="DB146" s="5">
        <v>0.21900424657775799</v>
      </c>
      <c r="DC146" s="5">
        <v>3.8239278606585402E-2</v>
      </c>
      <c r="DD146" s="5">
        <v>0.61932954272163299</v>
      </c>
      <c r="DE146" s="5">
        <v>-0.50274573880020201</v>
      </c>
      <c r="DF146" s="5">
        <v>0.44872427646527502</v>
      </c>
      <c r="DG146" s="5">
        <v>-0.35585514138219598</v>
      </c>
      <c r="DH146" s="5">
        <v>0.18779629095605899</v>
      </c>
      <c r="DI146" s="5">
        <v>-6.4887348193035502E-2</v>
      </c>
      <c r="DJ146" s="5">
        <v>-0.125407077946845</v>
      </c>
      <c r="DK146" s="5">
        <v>0.13248052202053601</v>
      </c>
      <c r="DL146" s="5">
        <v>0.53228005175066395</v>
      </c>
      <c r="DM146" s="5">
        <v>-0.43545935891849502</v>
      </c>
      <c r="DN146" s="5">
        <v>-0.21260862928018701</v>
      </c>
      <c r="DO146" s="5">
        <v>0.20615022408294001</v>
      </c>
      <c r="DP146" s="5">
        <v>3.7869419603459499E-2</v>
      </c>
      <c r="DQ146" s="5">
        <v>4.6334239942926403E-2</v>
      </c>
      <c r="DR146" s="5">
        <v>8.8560927241198698E-2</v>
      </c>
      <c r="DS146" s="5">
        <v>-3.6389644524277599E-2</v>
      </c>
      <c r="DT146" s="5">
        <v>0.34463935074181801</v>
      </c>
      <c r="DU146" s="5">
        <v>-0.27179150339347402</v>
      </c>
      <c r="DV146" s="5">
        <v>0.33389871531730703</v>
      </c>
      <c r="DW146" s="5">
        <v>-0.29086493664563101</v>
      </c>
      <c r="DX146" s="5">
        <v>-4.0367366156230301E-2</v>
      </c>
      <c r="DY146" s="5">
        <v>5.7367142087820303E-2</v>
      </c>
      <c r="DZ146" s="5">
        <v>0.126367132747149</v>
      </c>
      <c r="EA146" s="5">
        <v>-0.195439273778896</v>
      </c>
      <c r="EB146" s="5">
        <v>0.57468448287430596</v>
      </c>
      <c r="EC146" s="5">
        <v>-0.50161620901211701</v>
      </c>
      <c r="ED146" s="5">
        <v>0.49996889899416103</v>
      </c>
      <c r="EE146" s="5">
        <v>-0.43750839495379801</v>
      </c>
      <c r="EF146" s="5">
        <v>0.69734456307474901</v>
      </c>
      <c r="EG146" s="5">
        <v>-0.59262406476434204</v>
      </c>
      <c r="EH146" s="5">
        <v>0.59467005094006298</v>
      </c>
      <c r="EI146" s="5">
        <v>-0.51118774850366</v>
      </c>
      <c r="EJ146" s="5">
        <v>0.54795812858561599</v>
      </c>
      <c r="EK146" s="5">
        <v>-0.47651659120339002</v>
      </c>
      <c r="EL146" s="5">
        <v>0.52294807507950403</v>
      </c>
      <c r="EM146" s="5">
        <v>-0.47968142079840098</v>
      </c>
      <c r="EN146" s="5">
        <v>-6.6634999774963899E-2</v>
      </c>
      <c r="EO146" s="5">
        <v>0.27341300084650499</v>
      </c>
      <c r="EP146" s="5">
        <v>1</v>
      </c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</row>
    <row r="147" spans="1:389" x14ac:dyDescent="0.45">
      <c r="A147" s="4" t="str">
        <f ca="1">"GRD / beta2dist in "&amp;CELL("address",'damages-1990'!$K$74)</f>
        <v>GRD / beta2dist in '[BHM betas v3pd.xlsx]damages-1990'!$K$74</v>
      </c>
      <c r="B147" s="6">
        <v>-3.15970330848084E-2</v>
      </c>
      <c r="C147" s="5">
        <v>0.12610384998181101</v>
      </c>
      <c r="D147" s="5">
        <v>-0.32719391759839</v>
      </c>
      <c r="E147" s="5">
        <v>0.54002509787394604</v>
      </c>
      <c r="F147" s="5">
        <v>-6.1727264881567701E-3</v>
      </c>
      <c r="G147" s="5">
        <v>3.1233654788605701E-2</v>
      </c>
      <c r="H147" s="5">
        <v>-6.9424663455168803E-3</v>
      </c>
      <c r="I147" s="5">
        <v>-2.5066227617359299E-2</v>
      </c>
      <c r="J147" s="5">
        <v>-0.21654707736992301</v>
      </c>
      <c r="K147" s="5">
        <v>0.37913395921238502</v>
      </c>
      <c r="L147" s="5">
        <v>-2.3172849971428999E-2</v>
      </c>
      <c r="M147" s="5">
        <v>4.5544644582138402E-2</v>
      </c>
      <c r="N147" s="5">
        <v>-9.5213460595377303E-2</v>
      </c>
      <c r="O147" s="5">
        <v>0.133754247608908</v>
      </c>
      <c r="P147" s="5">
        <v>-0.57276126572117603</v>
      </c>
      <c r="Q147" s="5">
        <v>0.70513796289359298</v>
      </c>
      <c r="R147" s="5">
        <v>-0.190107031786726</v>
      </c>
      <c r="S147" s="5">
        <v>0.41124443943634498</v>
      </c>
      <c r="T147" s="5">
        <v>-0.34777142451227799</v>
      </c>
      <c r="U147" s="5">
        <v>0.40396429158852898</v>
      </c>
      <c r="V147" s="5">
        <v>1.7203121727644301E-2</v>
      </c>
      <c r="W147" s="5">
        <v>9.2498115035981703E-3</v>
      </c>
      <c r="X147" s="5">
        <v>-0.27571417434440099</v>
      </c>
      <c r="Y147" s="5">
        <v>0.45379347873320602</v>
      </c>
      <c r="Z147" s="5">
        <v>-9.1737625805141707E-2</v>
      </c>
      <c r="AA147" s="5">
        <v>0.12645874855433001</v>
      </c>
      <c r="AB147" s="5">
        <v>-0.37848852570411801</v>
      </c>
      <c r="AC147" s="5">
        <v>0.61299449295767094</v>
      </c>
      <c r="AD147" s="5">
        <v>-0.387245506445558</v>
      </c>
      <c r="AE147" s="5">
        <v>0.58352041506022501</v>
      </c>
      <c r="AF147" s="5">
        <v>-0.148701497737418</v>
      </c>
      <c r="AG147" s="5">
        <v>0.32932569320942001</v>
      </c>
      <c r="AH147" s="5">
        <v>-5.6990179006275503E-2</v>
      </c>
      <c r="AI147" s="5">
        <v>0.10278363903342699</v>
      </c>
      <c r="AJ147" s="5">
        <v>-0.17373814110883401</v>
      </c>
      <c r="AK147" s="5">
        <v>0.29883762789723001</v>
      </c>
      <c r="AL147" s="5">
        <v>0.22244693145269101</v>
      </c>
      <c r="AM147" s="5">
        <v>-0.23169932560085499</v>
      </c>
      <c r="AN147" s="5">
        <v>-0.21644426288764601</v>
      </c>
      <c r="AO147" s="5">
        <v>0.29862475515979597</v>
      </c>
      <c r="AP147" s="5">
        <v>-0.13723553365080299</v>
      </c>
      <c r="AQ147" s="5">
        <v>0.15176444539675699</v>
      </c>
      <c r="AR147" s="5">
        <v>-0.12511285926003901</v>
      </c>
      <c r="AS147" s="5">
        <v>0.25109378976539598</v>
      </c>
      <c r="AT147" s="5">
        <v>0.2702960608526</v>
      </c>
      <c r="AU147" s="5">
        <v>-0.27936771413412897</v>
      </c>
      <c r="AV147" s="5">
        <v>-0.23358624034171899</v>
      </c>
      <c r="AW147" s="5">
        <v>0.53486795908079199</v>
      </c>
      <c r="AX147" s="5">
        <v>-0.312304765231744</v>
      </c>
      <c r="AY147" s="5">
        <v>0.61780464679611402</v>
      </c>
      <c r="AZ147" s="5">
        <v>-0.74286010962203997</v>
      </c>
      <c r="BA147" s="5">
        <v>0.86239181667894305</v>
      </c>
      <c r="BB147" s="5">
        <v>-0.15753982242672099</v>
      </c>
      <c r="BC147" s="5">
        <v>0.38326130116346202</v>
      </c>
      <c r="BD147" s="5">
        <v>-5.2327773003887201E-3</v>
      </c>
      <c r="BE147" s="5">
        <v>6.0871050049461903E-2</v>
      </c>
      <c r="BF147" s="5">
        <v>-0.44364788164420099</v>
      </c>
      <c r="BG147" s="5">
        <v>0.62117541456897396</v>
      </c>
      <c r="BH147" s="5">
        <v>-0.347059783771338</v>
      </c>
      <c r="BI147" s="5">
        <v>0.62064739606937103</v>
      </c>
      <c r="BJ147" s="5">
        <v>-4.8348682790082503E-2</v>
      </c>
      <c r="BK147" s="5">
        <v>-0.10187282653063599</v>
      </c>
      <c r="BL147" s="5">
        <v>-0.35350023537297298</v>
      </c>
      <c r="BM147" s="5">
        <v>0.40133006252710102</v>
      </c>
      <c r="BN147" s="5">
        <v>7.4751927247537098E-2</v>
      </c>
      <c r="BO147" s="5">
        <v>-0.132515045746948</v>
      </c>
      <c r="BP147" s="5">
        <v>0.12589198862522</v>
      </c>
      <c r="BQ147" s="5">
        <v>-0.30499471385121502</v>
      </c>
      <c r="BR147" s="5">
        <v>-0.44211858640587698</v>
      </c>
      <c r="BS147" s="5">
        <v>0.65158430392482702</v>
      </c>
      <c r="BT147" s="5">
        <v>-0.32838865165963499</v>
      </c>
      <c r="BU147" s="5">
        <v>0.62153953829963005</v>
      </c>
      <c r="BV147" s="5">
        <v>-0.23305202827629601</v>
      </c>
      <c r="BW147" s="5">
        <v>0.46604752489847501</v>
      </c>
      <c r="BX147" s="5">
        <v>-0.188655072298127</v>
      </c>
      <c r="BY147" s="5">
        <v>0.42665236767138098</v>
      </c>
      <c r="BZ147" s="5">
        <v>-0.29389262451237003</v>
      </c>
      <c r="CA147" s="5">
        <v>0.53842034145420703</v>
      </c>
      <c r="CB147" s="5">
        <v>-4.5090546198248302E-2</v>
      </c>
      <c r="CC147" s="5">
        <v>0.26341742622954301</v>
      </c>
      <c r="CD147" s="5">
        <v>-0.23344703819680901</v>
      </c>
      <c r="CE147" s="5">
        <v>0.39079458592625899</v>
      </c>
      <c r="CF147" s="5">
        <v>-0.42783057154493598</v>
      </c>
      <c r="CG147" s="5">
        <v>0.55619380154399201</v>
      </c>
      <c r="CH147" s="5">
        <v>0.21969220682068599</v>
      </c>
      <c r="CI147" s="5">
        <v>-0.19948142863495599</v>
      </c>
      <c r="CJ147" s="5">
        <v>0.22630026193422001</v>
      </c>
      <c r="CK147" s="5">
        <v>-0.25393199107755998</v>
      </c>
      <c r="CL147" s="5">
        <v>-0.25505501492639898</v>
      </c>
      <c r="CM147" s="5">
        <v>0.30060164895385999</v>
      </c>
      <c r="CN147" s="5">
        <v>-0.15352620285554699</v>
      </c>
      <c r="CO147" s="5">
        <v>0.18598956230854199</v>
      </c>
      <c r="CP147" s="5">
        <v>-0.48124186347119202</v>
      </c>
      <c r="CQ147" s="5">
        <v>0.59511382128476598</v>
      </c>
      <c r="CR147" s="5">
        <v>-0.62101258375343005</v>
      </c>
      <c r="CS147" s="5">
        <v>0.75691462325066505</v>
      </c>
      <c r="CT147" s="5">
        <v>-0.11691157095172799</v>
      </c>
      <c r="CU147" s="5">
        <v>0.13186825293422899</v>
      </c>
      <c r="CV147" s="5">
        <v>-0.44478349959526597</v>
      </c>
      <c r="CW147" s="5">
        <v>0.57121245765225903</v>
      </c>
      <c r="CX147" s="5">
        <v>-0.20350171886351601</v>
      </c>
      <c r="CY147" s="5">
        <v>0.34667453279483301</v>
      </c>
      <c r="CZ147" s="5">
        <v>-0.28884662385778598</v>
      </c>
      <c r="DA147" s="5">
        <v>0.50200416131938896</v>
      </c>
      <c r="DB147" s="5">
        <v>-5.0972530306603502E-2</v>
      </c>
      <c r="DC147" s="5">
        <v>9.38101029894442E-2</v>
      </c>
      <c r="DD147" s="5">
        <v>-0.55000746927049504</v>
      </c>
      <c r="DE147" s="5">
        <v>0.678063069821362</v>
      </c>
      <c r="DF147" s="5">
        <v>-0.25898346104311798</v>
      </c>
      <c r="DG147" s="5">
        <v>0.40520545788691498</v>
      </c>
      <c r="DH147" s="5">
        <v>-9.3452776625802605E-2</v>
      </c>
      <c r="DI147" s="5">
        <v>0.199046586133101</v>
      </c>
      <c r="DJ147" s="5">
        <v>-6.03405844868284E-2</v>
      </c>
      <c r="DK147" s="5">
        <v>5.8492898896671801E-2</v>
      </c>
      <c r="DL147" s="5">
        <v>-0.37687429575421599</v>
      </c>
      <c r="DM147" s="5">
        <v>0.58197437140027997</v>
      </c>
      <c r="DN147" s="5">
        <v>2.9802678527598801E-3</v>
      </c>
      <c r="DO147" s="5">
        <v>-2.0274961675791899E-2</v>
      </c>
      <c r="DP147" s="5">
        <v>0.15156133759492599</v>
      </c>
      <c r="DQ147" s="5">
        <v>-6.3583108960157106E-2</v>
      </c>
      <c r="DR147" s="5">
        <v>-6.7344361002264805E-2</v>
      </c>
      <c r="DS147" s="5">
        <v>0.133643373546626</v>
      </c>
      <c r="DT147" s="5">
        <v>-0.30422987684705299</v>
      </c>
      <c r="DU147" s="5">
        <v>0.37667204364477203</v>
      </c>
      <c r="DV147" s="5">
        <v>-0.21907302450429</v>
      </c>
      <c r="DW147" s="5">
        <v>0.41853860866964399</v>
      </c>
      <c r="DX147" s="5">
        <v>-3.61708409452072E-2</v>
      </c>
      <c r="DY147" s="5">
        <v>5.2451345976773298E-2</v>
      </c>
      <c r="DZ147" s="5">
        <v>-0.105062229605937</v>
      </c>
      <c r="EA147" s="5">
        <v>0.179122558600669</v>
      </c>
      <c r="EB147" s="5">
        <v>-0.46136250314666799</v>
      </c>
      <c r="EC147" s="5">
        <v>0.65455456875963003</v>
      </c>
      <c r="ED147" s="5">
        <v>-0.38626432481960399</v>
      </c>
      <c r="EE147" s="5">
        <v>0.61175196550192801</v>
      </c>
      <c r="EF147" s="5">
        <v>-0.62109925405654798</v>
      </c>
      <c r="EG147" s="5">
        <v>0.74088678708108102</v>
      </c>
      <c r="EH147" s="5">
        <v>-0.41162637385406697</v>
      </c>
      <c r="EI147" s="5">
        <v>0.62553948278042404</v>
      </c>
      <c r="EJ147" s="5">
        <v>-0.391415722000101</v>
      </c>
      <c r="EK147" s="5">
        <v>0.62155015003720104</v>
      </c>
      <c r="EL147" s="5">
        <v>-0.31837001628078199</v>
      </c>
      <c r="EM147" s="5">
        <v>0.549672604862664</v>
      </c>
      <c r="EN147" s="5">
        <v>0.22034725188882701</v>
      </c>
      <c r="EO147" s="5">
        <v>-0.26493559278933398</v>
      </c>
      <c r="EP147" s="5">
        <v>-0.86747376368016205</v>
      </c>
      <c r="EQ147" s="5">
        <v>1</v>
      </c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</row>
    <row r="148" spans="1:389" x14ac:dyDescent="0.45">
      <c r="A148" s="4" t="str">
        <f ca="1">"GTM / beta1dist in "&amp;CELL("address",'damages-1990'!$J$75)</f>
        <v>GTM / beta1dist in '[BHM betas v3pd.xlsx]damages-1990'!$J$75</v>
      </c>
      <c r="B148" s="6">
        <v>0.183293077601002</v>
      </c>
      <c r="C148" s="5">
        <v>0.248765991421463</v>
      </c>
      <c r="D148" s="5">
        <v>0.53576460121876701</v>
      </c>
      <c r="E148" s="5">
        <v>-0.187796886785811</v>
      </c>
      <c r="F148" s="5">
        <v>0.18573221773016499</v>
      </c>
      <c r="G148" s="5">
        <v>9.2293420500486403E-2</v>
      </c>
      <c r="H148" s="5">
        <v>-0.23714721095378499</v>
      </c>
      <c r="I148" s="5">
        <v>0.204212000960319</v>
      </c>
      <c r="J148" s="5">
        <v>0.46240476438046102</v>
      </c>
      <c r="K148" s="5">
        <v>-6.2834777110898701E-2</v>
      </c>
      <c r="L148" s="5">
        <v>0.36925186826094297</v>
      </c>
      <c r="M148" s="5">
        <v>3.3343788189597302E-2</v>
      </c>
      <c r="N148" s="5">
        <v>3.0848102081349402E-2</v>
      </c>
      <c r="O148" s="5">
        <v>-5.5041937054226102E-2</v>
      </c>
      <c r="P148" s="5">
        <v>0.127061293737294</v>
      </c>
      <c r="Q148" s="5">
        <v>5.4623907645842303E-2</v>
      </c>
      <c r="R148" s="5">
        <v>0.49351239672811398</v>
      </c>
      <c r="S148" s="5">
        <v>-9.6248381999441496E-2</v>
      </c>
      <c r="T148" s="5">
        <v>-4.7662485069642602E-2</v>
      </c>
      <c r="U148" s="5">
        <v>4.4571863717534001E-2</v>
      </c>
      <c r="V148" s="5">
        <v>0.18925536867231499</v>
      </c>
      <c r="W148" s="5">
        <v>0.242456213179948</v>
      </c>
      <c r="X148" s="5">
        <v>0.43647338033602001</v>
      </c>
      <c r="Y148" s="5">
        <v>-7.8183337904685804E-2</v>
      </c>
      <c r="Z148" s="5">
        <v>1.0737839704229001E-2</v>
      </c>
      <c r="AA148" s="5">
        <v>9.1367262386442105E-2</v>
      </c>
      <c r="AB148" s="5">
        <v>0.43436212552750197</v>
      </c>
      <c r="AC148" s="5">
        <v>-0.17784829675350999</v>
      </c>
      <c r="AD148" s="5">
        <v>0.41226711587846099</v>
      </c>
      <c r="AE148" s="5">
        <v>-0.14147025700070001</v>
      </c>
      <c r="AF148" s="5">
        <v>0.38492536178404502</v>
      </c>
      <c r="AG148" s="5">
        <v>-0.11074906916633399</v>
      </c>
      <c r="AH148" s="5">
        <v>0.127414845892458</v>
      </c>
      <c r="AI148" s="5">
        <v>8.6710164792502903E-2</v>
      </c>
      <c r="AJ148" s="5">
        <v>0.43936460310203901</v>
      </c>
      <c r="AK148" s="5">
        <v>-2.2955528035498499E-2</v>
      </c>
      <c r="AL148" s="5">
        <v>0.49470943616863899</v>
      </c>
      <c r="AM148" s="5">
        <v>-0.31947974697818299</v>
      </c>
      <c r="AN148" s="5">
        <v>4.5465286240815299E-2</v>
      </c>
      <c r="AO148" s="5">
        <v>7.5261466798046198E-2</v>
      </c>
      <c r="AP148" s="5">
        <v>-8.8346948635724606E-2</v>
      </c>
      <c r="AQ148" s="5">
        <v>8.6904098513330405E-2</v>
      </c>
      <c r="AR148" s="5">
        <v>0.88409265303384599</v>
      </c>
      <c r="AS148" s="5">
        <v>-0.70230937919010095</v>
      </c>
      <c r="AT148" s="5">
        <v>0.32797633838599599</v>
      </c>
      <c r="AU148" s="5">
        <v>-0.101541531861291</v>
      </c>
      <c r="AV148" s="5">
        <v>0.60653406838527402</v>
      </c>
      <c r="AW148" s="5">
        <v>-0.26808741109510298</v>
      </c>
      <c r="AX148" s="5">
        <v>0.69453564988288097</v>
      </c>
      <c r="AY148" s="5">
        <v>-0.42097414494763002</v>
      </c>
      <c r="AZ148" s="5">
        <v>0.30998348908425999</v>
      </c>
      <c r="BA148" s="5">
        <v>-0.14122011227988701</v>
      </c>
      <c r="BB148" s="5">
        <v>0.59784836339165404</v>
      </c>
      <c r="BC148" s="5">
        <v>-0.25692787050749799</v>
      </c>
      <c r="BD148" s="5">
        <v>0.105652564104302</v>
      </c>
      <c r="BE148" s="5">
        <v>0.27934129178188899</v>
      </c>
      <c r="BF148" s="5">
        <v>0.48328548692128098</v>
      </c>
      <c r="BG148" s="5">
        <v>-0.18344834811751601</v>
      </c>
      <c r="BH148" s="5">
        <v>0.56364361298703403</v>
      </c>
      <c r="BI148" s="5">
        <v>-0.24069571405732801</v>
      </c>
      <c r="BJ148" s="5">
        <v>-0.21739020681420401</v>
      </c>
      <c r="BK148" s="5">
        <v>5.4025252991452902E-2</v>
      </c>
      <c r="BL148" s="5">
        <v>-3.9409477865273497E-2</v>
      </c>
      <c r="BM148" s="5">
        <v>-3.53730723002308E-3</v>
      </c>
      <c r="BN148" s="5">
        <v>-0.16105782582245301</v>
      </c>
      <c r="BO148" s="5">
        <v>0.29643278376076698</v>
      </c>
      <c r="BP148" s="5">
        <v>-0.17634424709284899</v>
      </c>
      <c r="BQ148" s="5">
        <v>0.325794453499821</v>
      </c>
      <c r="BR148" s="5">
        <v>0.45068751408227897</v>
      </c>
      <c r="BS148" s="5">
        <v>-0.21113745097094699</v>
      </c>
      <c r="BT148" s="5">
        <v>0.61898172144158703</v>
      </c>
      <c r="BU148" s="5">
        <v>-0.30317419107417598</v>
      </c>
      <c r="BV148" s="5">
        <v>0.56539284813059199</v>
      </c>
      <c r="BW148" s="5">
        <v>-0.24671350552256899</v>
      </c>
      <c r="BX148" s="5">
        <v>0.50110682196799305</v>
      </c>
      <c r="BY148" s="5">
        <v>-0.25218678519790499</v>
      </c>
      <c r="BZ148" s="5">
        <v>0.58895979178636204</v>
      </c>
      <c r="CA148" s="5">
        <v>-0.30240250015918502</v>
      </c>
      <c r="CB148" s="5">
        <v>0.45655828483726402</v>
      </c>
      <c r="CC148" s="5">
        <v>-0.227396691706236</v>
      </c>
      <c r="CD148" s="5">
        <v>0.17188151177689001</v>
      </c>
      <c r="CE148" s="5">
        <v>0.11109103196791301</v>
      </c>
      <c r="CF148" s="5">
        <v>0.59746985333702596</v>
      </c>
      <c r="CG148" s="5">
        <v>-0.38879818136588001</v>
      </c>
      <c r="CH148" s="5">
        <v>0.57748046375164996</v>
      </c>
      <c r="CI148" s="5">
        <v>-0.461193808718045</v>
      </c>
      <c r="CJ148" s="5">
        <v>0.181674911794798</v>
      </c>
      <c r="CK148" s="5">
        <v>0.11734903199819301</v>
      </c>
      <c r="CL148" s="5">
        <v>-1.21518194124849E-2</v>
      </c>
      <c r="CM148" s="5">
        <v>5.4119404763485798E-2</v>
      </c>
      <c r="CN148" s="5">
        <v>-2.8707107531653398E-3</v>
      </c>
      <c r="CO148" s="5">
        <v>6.8243343578776303E-2</v>
      </c>
      <c r="CP148" s="5">
        <v>0.37948110547048702</v>
      </c>
      <c r="CQ148" s="5">
        <v>-0.12980317006902101</v>
      </c>
      <c r="CR148" s="5">
        <v>0.194128544462151</v>
      </c>
      <c r="CS148" s="5">
        <v>-1.57434220401074E-2</v>
      </c>
      <c r="CT148" s="5">
        <v>-1.9505328418377901E-2</v>
      </c>
      <c r="CU148" s="5">
        <v>1.60300634189838E-2</v>
      </c>
      <c r="CV148" s="5">
        <v>0.35525124420571602</v>
      </c>
      <c r="CW148" s="5">
        <v>-0.15883938436026401</v>
      </c>
      <c r="CX148" s="5">
        <v>0.49818055097897201</v>
      </c>
      <c r="CY148" s="5">
        <v>-0.13843900152447799</v>
      </c>
      <c r="CZ148" s="5">
        <v>0.54193195559685803</v>
      </c>
      <c r="DA148" s="5">
        <v>-0.265562955269664</v>
      </c>
      <c r="DB148" s="5">
        <v>0.28229774921988199</v>
      </c>
      <c r="DC148" s="5">
        <v>0.19841480516910201</v>
      </c>
      <c r="DD148" s="5">
        <v>0.29358961163112401</v>
      </c>
      <c r="DE148" s="5">
        <v>-1.5899411448235901E-3</v>
      </c>
      <c r="DF148" s="5">
        <v>0.43401431465703899</v>
      </c>
      <c r="DG148" s="5">
        <v>-0.101615183372035</v>
      </c>
      <c r="DH148" s="5">
        <v>0.31899762974728302</v>
      </c>
      <c r="DI148" s="5">
        <v>9.4256467879929706E-3</v>
      </c>
      <c r="DJ148" s="5">
        <v>-0.114262992952464</v>
      </c>
      <c r="DK148" s="5">
        <v>7.7438864979496799E-2</v>
      </c>
      <c r="DL148" s="5">
        <v>0.47415926307320899</v>
      </c>
      <c r="DM148" s="5">
        <v>-0.123715947697914</v>
      </c>
      <c r="DN148" s="5">
        <v>-0.232169160788569</v>
      </c>
      <c r="DO148" s="5">
        <v>0.148613380027317</v>
      </c>
      <c r="DP148" s="5">
        <v>0.408642380678715</v>
      </c>
      <c r="DQ148" s="5">
        <v>-0.13884985231330199</v>
      </c>
      <c r="DR148" s="5">
        <v>9.6285865330408907E-2</v>
      </c>
      <c r="DS148" s="5">
        <v>0.10685004893193301</v>
      </c>
      <c r="DT148" s="5">
        <v>0.45136474505254598</v>
      </c>
      <c r="DU148" s="5">
        <v>-0.230281367501632</v>
      </c>
      <c r="DV148" s="5">
        <v>0.29856404867390701</v>
      </c>
      <c r="DW148" s="5">
        <v>-6.6191546328142503E-2</v>
      </c>
      <c r="DX148" s="5">
        <v>-0.19090586695681799</v>
      </c>
      <c r="DY148" s="5">
        <v>0.25315247102128002</v>
      </c>
      <c r="DZ148" s="5">
        <v>6.4761280047393302E-2</v>
      </c>
      <c r="EA148" s="5">
        <v>-6.6722610451233705E-2</v>
      </c>
      <c r="EB148" s="5">
        <v>0.52035701801395196</v>
      </c>
      <c r="EC148" s="5">
        <v>-0.231145530776836</v>
      </c>
      <c r="ED148" s="5">
        <v>0.492537869060933</v>
      </c>
      <c r="EE148" s="5">
        <v>-0.18721224723820801</v>
      </c>
      <c r="EF148" s="5">
        <v>0.16311003110157901</v>
      </c>
      <c r="EG148" s="5">
        <v>1.0973612632455601E-2</v>
      </c>
      <c r="EH148" s="5">
        <v>0.51629437779381104</v>
      </c>
      <c r="EI148" s="5">
        <v>-0.16601769477115799</v>
      </c>
      <c r="EJ148" s="5">
        <v>0.46499428261050901</v>
      </c>
      <c r="EK148" s="5">
        <v>-0.115634572655832</v>
      </c>
      <c r="EL148" s="5">
        <v>0.59175368939582296</v>
      </c>
      <c r="EM148" s="5">
        <v>-0.31598477897088301</v>
      </c>
      <c r="EN148" s="5">
        <v>0.27711414832378001</v>
      </c>
      <c r="EO148" s="5">
        <v>2.4612634830181598E-2</v>
      </c>
      <c r="EP148" s="5">
        <v>0.34202122427803</v>
      </c>
      <c r="EQ148" s="5">
        <v>-0.14508295719480099</v>
      </c>
      <c r="ER148" s="5">
        <v>1</v>
      </c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</row>
    <row r="149" spans="1:389" x14ac:dyDescent="0.45">
      <c r="A149" s="4" t="str">
        <f ca="1">"GTM / beta2dist in "&amp;CELL("address",'damages-1990'!$K$75)</f>
        <v>GTM / beta2dist in '[BHM betas v3pd.xlsx]damages-1990'!$K$75</v>
      </c>
      <c r="B149" s="6">
        <v>-6.9020819836369098E-3</v>
      </c>
      <c r="C149" s="5">
        <v>-3.5750772098676602E-2</v>
      </c>
      <c r="D149" s="5">
        <v>-0.26747737131945998</v>
      </c>
      <c r="E149" s="5">
        <v>0.40304466368814501</v>
      </c>
      <c r="F149" s="5">
        <v>-7.7287083377192103E-2</v>
      </c>
      <c r="G149" s="5">
        <v>6.3150323730029698E-2</v>
      </c>
      <c r="H149" s="5">
        <v>0.106002726909597</v>
      </c>
      <c r="I149" s="5">
        <v>-0.12731595224869999</v>
      </c>
      <c r="J149" s="5">
        <v>-0.134316071779889</v>
      </c>
      <c r="K149" s="5">
        <v>0.15677306710896699</v>
      </c>
      <c r="L149" s="5">
        <v>-5.1802418512739902E-2</v>
      </c>
      <c r="M149" s="5">
        <v>-3.29278264219346E-3</v>
      </c>
      <c r="N149" s="5">
        <v>-0.11245061382352101</v>
      </c>
      <c r="O149" s="5">
        <v>0.16310215539994399</v>
      </c>
      <c r="P149" s="5">
        <v>-7.6837109081759503E-2</v>
      </c>
      <c r="Q149" s="5">
        <v>0.15274650409195001</v>
      </c>
      <c r="R149" s="5">
        <v>-0.1735292532054</v>
      </c>
      <c r="S149" s="5">
        <v>0.22988106398733801</v>
      </c>
      <c r="T149" s="5">
        <v>-9.2135438978587295E-2</v>
      </c>
      <c r="U149" s="5">
        <v>0.10838629161793401</v>
      </c>
      <c r="V149" s="5">
        <v>1.9461056123132401E-2</v>
      </c>
      <c r="W149" s="5">
        <v>-0.10810201385944</v>
      </c>
      <c r="X149" s="5">
        <v>-0.20342437567195801</v>
      </c>
      <c r="Y149" s="5">
        <v>0.29768682016272002</v>
      </c>
      <c r="Z149" s="5">
        <v>-5.1869809714923901E-2</v>
      </c>
      <c r="AA149" s="5">
        <v>6.6023297740103903E-2</v>
      </c>
      <c r="AB149" s="5">
        <v>-0.20269107314811799</v>
      </c>
      <c r="AC149" s="5">
        <v>0.334486050398902</v>
      </c>
      <c r="AD149" s="5">
        <v>-0.217527283079545</v>
      </c>
      <c r="AE149" s="5">
        <v>0.35014765617862698</v>
      </c>
      <c r="AF149" s="5">
        <v>-0.110182360388803</v>
      </c>
      <c r="AG149" s="5">
        <v>0.20635521878940399</v>
      </c>
      <c r="AH149" s="5">
        <v>-6.3096639756233405E-2</v>
      </c>
      <c r="AI149" s="5">
        <v>6.8146896735634496E-2</v>
      </c>
      <c r="AJ149" s="5">
        <v>-0.17231002700252601</v>
      </c>
      <c r="AK149" s="5">
        <v>0.14357340116718401</v>
      </c>
      <c r="AL149" s="5">
        <v>-0.21267532062549999</v>
      </c>
      <c r="AM149" s="5">
        <v>0.26758856329327002</v>
      </c>
      <c r="AN149" s="5">
        <v>-9.1719508180148401E-2</v>
      </c>
      <c r="AO149" s="5">
        <v>0.105961899592476</v>
      </c>
      <c r="AP149" s="5">
        <v>-7.8039580041317294E-2</v>
      </c>
      <c r="AQ149" s="5">
        <v>0.115341234768357</v>
      </c>
      <c r="AR149" s="5">
        <v>-0.65773389659672399</v>
      </c>
      <c r="AS149" s="5">
        <v>0.85052660302677796</v>
      </c>
      <c r="AT149" s="5">
        <v>-1.3285870216318701E-2</v>
      </c>
      <c r="AU149" s="5">
        <v>-1.62389602229162E-2</v>
      </c>
      <c r="AV149" s="5">
        <v>-0.24113729374746501</v>
      </c>
      <c r="AW149" s="5">
        <v>0.37625121335290801</v>
      </c>
      <c r="AX149" s="5">
        <v>-0.37398358261279002</v>
      </c>
      <c r="AY149" s="5">
        <v>0.58682642790551198</v>
      </c>
      <c r="AZ149" s="5">
        <v>-0.221934584317208</v>
      </c>
      <c r="BA149" s="5">
        <v>0.30412390635298803</v>
      </c>
      <c r="BB149" s="5">
        <v>-0.280550764265382</v>
      </c>
      <c r="BC149" s="5">
        <v>0.40251396012666302</v>
      </c>
      <c r="BD149" s="5">
        <v>-5.02002083451017E-2</v>
      </c>
      <c r="BE149" s="5">
        <v>1.9610273898501202E-2</v>
      </c>
      <c r="BF149" s="5">
        <v>-0.242293829155031</v>
      </c>
      <c r="BG149" s="5">
        <v>0.31628298923532</v>
      </c>
      <c r="BH149" s="5">
        <v>-0.27685407378680799</v>
      </c>
      <c r="BI149" s="5">
        <v>0.42366556931441601</v>
      </c>
      <c r="BJ149" s="5">
        <v>-6.5626161898666796E-2</v>
      </c>
      <c r="BK149" s="5">
        <v>3.9600208905783599E-2</v>
      </c>
      <c r="BL149" s="5">
        <v>-0.135396537426553</v>
      </c>
      <c r="BM149" s="5">
        <v>0.16193105046911599</v>
      </c>
      <c r="BN149" s="5">
        <v>0.102099184843156</v>
      </c>
      <c r="BO149" s="5">
        <v>-0.17498383660771599</v>
      </c>
      <c r="BP149" s="5">
        <v>8.3334235437355894E-2</v>
      </c>
      <c r="BQ149" s="5">
        <v>-0.18779261830482899</v>
      </c>
      <c r="BR149" s="5">
        <v>-0.31443228553913599</v>
      </c>
      <c r="BS149" s="5">
        <v>0.46755922743102601</v>
      </c>
      <c r="BT149" s="5">
        <v>-0.31042830985745501</v>
      </c>
      <c r="BU149" s="5">
        <v>0.48415241240426199</v>
      </c>
      <c r="BV149" s="5">
        <v>-0.30442034642835097</v>
      </c>
      <c r="BW149" s="5">
        <v>0.47059769556095199</v>
      </c>
      <c r="BX149" s="5">
        <v>-0.24278942870025699</v>
      </c>
      <c r="BY149" s="5">
        <v>0.44224721262686101</v>
      </c>
      <c r="BZ149" s="5">
        <v>-0.32961989928986002</v>
      </c>
      <c r="CA149" s="5">
        <v>0.487012440232924</v>
      </c>
      <c r="CB149" s="5">
        <v>-0.279863485775041</v>
      </c>
      <c r="CC149" s="5">
        <v>0.36999297413756599</v>
      </c>
      <c r="CD149" s="5">
        <v>-1.6078464339315001E-4</v>
      </c>
      <c r="CE149" s="5">
        <v>-4.3091743324652799E-2</v>
      </c>
      <c r="CF149" s="5">
        <v>-0.47247302943168701</v>
      </c>
      <c r="CG149" s="5">
        <v>0.57416800533566004</v>
      </c>
      <c r="CH149" s="5">
        <v>-0.32400873176206602</v>
      </c>
      <c r="CI149" s="5">
        <v>0.43346089800840898</v>
      </c>
      <c r="CJ149" s="5">
        <v>3.2191631984287698E-2</v>
      </c>
      <c r="CK149" s="5">
        <v>-8.4424814067161902E-2</v>
      </c>
      <c r="CL149" s="5">
        <v>-7.1581492639714306E-2</v>
      </c>
      <c r="CM149" s="5">
        <v>8.6157322957021207E-2</v>
      </c>
      <c r="CN149" s="5">
        <v>-6.6281275745982998E-2</v>
      </c>
      <c r="CO149" s="5">
        <v>8.4850705091584197E-2</v>
      </c>
      <c r="CP149" s="5">
        <v>-0.28053168602176898</v>
      </c>
      <c r="CQ149" s="5">
        <v>0.341946220277074</v>
      </c>
      <c r="CR149" s="5">
        <v>-0.13367068510962099</v>
      </c>
      <c r="CS149" s="5">
        <v>0.23137894147132201</v>
      </c>
      <c r="CT149" s="5">
        <v>-9.3676450838645495E-2</v>
      </c>
      <c r="CU149" s="5">
        <v>0.138872592675476</v>
      </c>
      <c r="CV149" s="5">
        <v>-0.24608138466006299</v>
      </c>
      <c r="CW149" s="5">
        <v>0.35560817205183298</v>
      </c>
      <c r="CX149" s="5">
        <v>-0.217905147799105</v>
      </c>
      <c r="CY149" s="5">
        <v>0.28402430119599797</v>
      </c>
      <c r="CZ149" s="5">
        <v>-0.31294037063198898</v>
      </c>
      <c r="DA149" s="5">
        <v>0.43926503818443802</v>
      </c>
      <c r="DB149" s="5">
        <v>6.6611125316023798E-2</v>
      </c>
      <c r="DC149" s="5">
        <v>-0.13760536436020099</v>
      </c>
      <c r="DD149" s="5">
        <v>-0.12558030145201901</v>
      </c>
      <c r="DE149" s="5">
        <v>0.20638075205669401</v>
      </c>
      <c r="DF149" s="5">
        <v>-0.17314135041916501</v>
      </c>
      <c r="DG149" s="5">
        <v>0.20000293320038001</v>
      </c>
      <c r="DH149" s="5">
        <v>-0.171215872670647</v>
      </c>
      <c r="DI149" s="5">
        <v>0.19934458312436401</v>
      </c>
      <c r="DJ149" s="5">
        <v>-8.6936480302465396E-2</v>
      </c>
      <c r="DK149" s="5">
        <v>0.12886294815779101</v>
      </c>
      <c r="DL149" s="5">
        <v>-0.25409928636398499</v>
      </c>
      <c r="DM149" s="5">
        <v>0.35334432427281598</v>
      </c>
      <c r="DN149" s="5">
        <v>-4.34314239280666E-3</v>
      </c>
      <c r="DO149" s="5">
        <v>2.86423649289138E-2</v>
      </c>
      <c r="DP149" s="5">
        <v>-1.6283716141185799E-2</v>
      </c>
      <c r="DQ149" s="5">
        <v>1.7252224380699299E-2</v>
      </c>
      <c r="DR149" s="5">
        <v>-6.9727155740920199E-2</v>
      </c>
      <c r="DS149" s="5">
        <v>7.78066967686393E-2</v>
      </c>
      <c r="DT149" s="5">
        <v>-0.38720398455466498</v>
      </c>
      <c r="DU149" s="5">
        <v>0.36533011722704001</v>
      </c>
      <c r="DV149" s="5">
        <v>-9.7069840065619806E-2</v>
      </c>
      <c r="DW149" s="5">
        <v>0.23324131327407399</v>
      </c>
      <c r="DX149" s="5">
        <v>0.114040286728844</v>
      </c>
      <c r="DY149" s="5">
        <v>-0.134052644719551</v>
      </c>
      <c r="DZ149" s="5">
        <v>-0.139075828770829</v>
      </c>
      <c r="EA149" s="5">
        <v>0.207308280947787</v>
      </c>
      <c r="EB149" s="5">
        <v>-0.32784607077994998</v>
      </c>
      <c r="EC149" s="5">
        <v>0.44764239783353599</v>
      </c>
      <c r="ED149" s="5">
        <v>-0.27244286521231698</v>
      </c>
      <c r="EE149" s="5">
        <v>0.40449940320059402</v>
      </c>
      <c r="EF149" s="5">
        <v>-0.13026058371523</v>
      </c>
      <c r="EG149" s="5">
        <v>0.20979225465840701</v>
      </c>
      <c r="EH149" s="5">
        <v>-0.24419589866525601</v>
      </c>
      <c r="EI149" s="5">
        <v>0.33629888893376098</v>
      </c>
      <c r="EJ149" s="5">
        <v>-0.19944816489443101</v>
      </c>
      <c r="EK149" s="5">
        <v>0.29904122613502798</v>
      </c>
      <c r="EL149" s="5">
        <v>-0.28965875605278801</v>
      </c>
      <c r="EM149" s="5">
        <v>0.43089735933088702</v>
      </c>
      <c r="EN149" s="5">
        <v>-2.5786085740498399E-2</v>
      </c>
      <c r="EO149" s="5">
        <v>-1.3240580589482199E-2</v>
      </c>
      <c r="EP149" s="5">
        <v>-0.245145687299028</v>
      </c>
      <c r="EQ149" s="5">
        <v>0.31011771174498298</v>
      </c>
      <c r="ER149" s="5">
        <v>-0.78367788634399305</v>
      </c>
      <c r="ES149" s="5">
        <v>1</v>
      </c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</row>
    <row r="150" spans="1:389" x14ac:dyDescent="0.45">
      <c r="A150" s="4" t="str">
        <f ca="1">"GUF / beta1dist in "&amp;CELL("address",'damages-1990'!$J$76)</f>
        <v>GUF / beta1dist in '[BHM betas v3pd.xlsx]damages-1990'!$J$76</v>
      </c>
      <c r="B150" s="6">
        <v>0.19929722093270699</v>
      </c>
      <c r="C150" s="5">
        <v>0.177519631474091</v>
      </c>
      <c r="D150" s="5">
        <v>0.64548151737760495</v>
      </c>
      <c r="E150" s="5">
        <v>-0.33742672801229201</v>
      </c>
      <c r="F150" s="5">
        <v>3.5852124438451302E-2</v>
      </c>
      <c r="G150" s="5">
        <v>0.27804258023499401</v>
      </c>
      <c r="H150" s="5">
        <v>-0.27655997867475202</v>
      </c>
      <c r="I150" s="5">
        <v>0.22556820043249501</v>
      </c>
      <c r="J150" s="5">
        <v>0.31923478778937198</v>
      </c>
      <c r="K150" s="5">
        <v>9.6005210785088599E-2</v>
      </c>
      <c r="L150" s="5">
        <v>0.24358842930295799</v>
      </c>
      <c r="M150" s="5">
        <v>0.16046605964114</v>
      </c>
      <c r="N150" s="5">
        <v>0.133275678428979</v>
      </c>
      <c r="O150" s="5">
        <v>-0.224918504190666</v>
      </c>
      <c r="P150" s="5">
        <v>0.53273009743425503</v>
      </c>
      <c r="Q150" s="5">
        <v>-0.31821041977369402</v>
      </c>
      <c r="R150" s="5">
        <v>0.38770935207108898</v>
      </c>
      <c r="S150" s="5">
        <v>-5.6855303087614301E-2</v>
      </c>
      <c r="T150" s="5">
        <v>1.8466032761245501E-2</v>
      </c>
      <c r="U150" s="5">
        <v>-6.7837848959851996E-2</v>
      </c>
      <c r="V150" s="5">
        <v>0.20320790351849699</v>
      </c>
      <c r="W150" s="5">
        <v>0.15244408934229201</v>
      </c>
      <c r="X150" s="5">
        <v>0.57454692542880403</v>
      </c>
      <c r="Y150" s="5">
        <v>-0.242305310180225</v>
      </c>
      <c r="Z150" s="5">
        <v>-2.3119066820078801E-4</v>
      </c>
      <c r="AA150" s="5">
        <v>7.1996820543289403E-2</v>
      </c>
      <c r="AB150" s="5">
        <v>0.48313326520460098</v>
      </c>
      <c r="AC150" s="5">
        <v>-0.29560834357619598</v>
      </c>
      <c r="AD150" s="5">
        <v>0.35192590957902198</v>
      </c>
      <c r="AE150" s="5">
        <v>-0.15241092795004099</v>
      </c>
      <c r="AF150" s="5">
        <v>0.40811645342706998</v>
      </c>
      <c r="AG150" s="5">
        <v>-0.114650371821574</v>
      </c>
      <c r="AH150" s="5">
        <v>6.50032508432309E-2</v>
      </c>
      <c r="AI150" s="5">
        <v>0.16227442928192301</v>
      </c>
      <c r="AJ150" s="5">
        <v>0.30521722217432901</v>
      </c>
      <c r="AK150" s="5">
        <v>0.11229629743084101</v>
      </c>
      <c r="AL150" s="5">
        <v>0.36911074209204198</v>
      </c>
      <c r="AM150" s="5">
        <v>-0.165188476972876</v>
      </c>
      <c r="AN150" s="5">
        <v>8.0155892645532398E-2</v>
      </c>
      <c r="AO150" s="5">
        <v>-6.5786975452069903E-3</v>
      </c>
      <c r="AP150" s="5">
        <v>-0.195112149594486</v>
      </c>
      <c r="AQ150" s="5">
        <v>0.16901349184189901</v>
      </c>
      <c r="AR150" s="5">
        <v>0.55122187489290297</v>
      </c>
      <c r="AS150" s="5">
        <v>-0.31211053890167501</v>
      </c>
      <c r="AT150" s="5">
        <v>0.26831110569643601</v>
      </c>
      <c r="AU150" s="5">
        <v>-8.6068667010914396E-2</v>
      </c>
      <c r="AV150" s="5">
        <v>0.51238273122657196</v>
      </c>
      <c r="AW150" s="5">
        <v>-0.21446602394415901</v>
      </c>
      <c r="AX150" s="5">
        <v>0.619296817626518</v>
      </c>
      <c r="AY150" s="5">
        <v>-0.36093010579510798</v>
      </c>
      <c r="AZ150" s="5">
        <v>0.53315259565292406</v>
      </c>
      <c r="BA150" s="5">
        <v>-0.302950891891756</v>
      </c>
      <c r="BB150" s="5">
        <v>0.34997545430275101</v>
      </c>
      <c r="BC150" s="5">
        <v>-1.23744871629745E-2</v>
      </c>
      <c r="BD150" s="5">
        <v>4.8925947942324299E-2</v>
      </c>
      <c r="BE150" s="5">
        <v>0.29842369703582</v>
      </c>
      <c r="BF150" s="5">
        <v>0.59882534433248003</v>
      </c>
      <c r="BG150" s="5">
        <v>-0.34297904791151201</v>
      </c>
      <c r="BH150" s="5">
        <v>0.56975951664005697</v>
      </c>
      <c r="BI150" s="5">
        <v>-0.29061313192071397</v>
      </c>
      <c r="BJ150" s="5">
        <v>-0.26215495693741397</v>
      </c>
      <c r="BK150" s="5">
        <v>6.72539615748457E-2</v>
      </c>
      <c r="BL150" s="5">
        <v>-2.4255707990351299E-2</v>
      </c>
      <c r="BM150" s="5">
        <v>-5.5891270033187203E-2</v>
      </c>
      <c r="BN150" s="5">
        <v>-0.139025399019856</v>
      </c>
      <c r="BO150" s="5">
        <v>0.22272590937751999</v>
      </c>
      <c r="BP150" s="5">
        <v>-0.265442282808246</v>
      </c>
      <c r="BQ150" s="5">
        <v>0.41136512571873901</v>
      </c>
      <c r="BR150" s="5">
        <v>0.31035312254366698</v>
      </c>
      <c r="BS150" s="5">
        <v>-0.142371130025403</v>
      </c>
      <c r="BT150" s="5">
        <v>0.51310823887138601</v>
      </c>
      <c r="BU150" s="5">
        <v>-0.231320600172532</v>
      </c>
      <c r="BV150" s="5">
        <v>0.49457151621281498</v>
      </c>
      <c r="BW150" s="5">
        <v>-0.18893423737027501</v>
      </c>
      <c r="BX150" s="5">
        <v>0.45784923550503598</v>
      </c>
      <c r="BY150" s="5">
        <v>-0.22005633268649299</v>
      </c>
      <c r="BZ150" s="5">
        <v>0.47183953941551698</v>
      </c>
      <c r="CA150" s="5">
        <v>-0.235473664950371</v>
      </c>
      <c r="CB150" s="5">
        <v>0.43385607197856801</v>
      </c>
      <c r="CC150" s="5">
        <v>-0.21251517504995199</v>
      </c>
      <c r="CD150" s="5">
        <v>0.38516052759868002</v>
      </c>
      <c r="CE150" s="5">
        <v>-0.184622175987079</v>
      </c>
      <c r="CF150" s="5">
        <v>0.76402777191014404</v>
      </c>
      <c r="CG150" s="5">
        <v>-0.54331455182372201</v>
      </c>
      <c r="CH150" s="5">
        <v>0.38358253170516698</v>
      </c>
      <c r="CI150" s="5">
        <v>-0.228852199824154</v>
      </c>
      <c r="CJ150" s="5">
        <v>4.3637314325518997E-2</v>
      </c>
      <c r="CK150" s="5">
        <v>0.31352810457720298</v>
      </c>
      <c r="CL150" s="5">
        <v>-6.2599951407637201E-3</v>
      </c>
      <c r="CM150" s="5">
        <v>2.6536144553121099E-3</v>
      </c>
      <c r="CN150" s="5">
        <v>-3.5402608996496901E-2</v>
      </c>
      <c r="CO150" s="5">
        <v>7.0304087493589504E-2</v>
      </c>
      <c r="CP150" s="5">
        <v>0.23929871106604</v>
      </c>
      <c r="CQ150" s="5">
        <v>-4.1444574237949297E-2</v>
      </c>
      <c r="CR150" s="5">
        <v>0.55869512046784697</v>
      </c>
      <c r="CS150" s="5">
        <v>-0.31580035488674801</v>
      </c>
      <c r="CT150" s="5">
        <v>-0.100100180384103</v>
      </c>
      <c r="CU150" s="5">
        <v>9.5338520287442996E-2</v>
      </c>
      <c r="CV150" s="5">
        <v>0.41610905303472201</v>
      </c>
      <c r="CW150" s="5">
        <v>-0.19095618072877399</v>
      </c>
      <c r="CX150" s="5">
        <v>0.350658336049395</v>
      </c>
      <c r="CY150" s="5">
        <v>1.4311453286483099E-3</v>
      </c>
      <c r="CZ150" s="5">
        <v>0.56816850831850296</v>
      </c>
      <c r="DA150" s="5">
        <v>-0.3524638840421</v>
      </c>
      <c r="DB150" s="5">
        <v>0.29651509704425399</v>
      </c>
      <c r="DC150" s="5">
        <v>0.207561296127631</v>
      </c>
      <c r="DD150" s="5">
        <v>0.27472854299070099</v>
      </c>
      <c r="DE150" s="5">
        <v>-2.442517584287E-2</v>
      </c>
      <c r="DF150" s="5">
        <v>0.516596590793581</v>
      </c>
      <c r="DG150" s="5">
        <v>-0.24156556905457199</v>
      </c>
      <c r="DH150" s="5">
        <v>0.23561268157504101</v>
      </c>
      <c r="DI150" s="5">
        <v>0.104280604329263</v>
      </c>
      <c r="DJ150" s="5">
        <v>-0.24891837890716401</v>
      </c>
      <c r="DK150" s="5">
        <v>0.19450804859713999</v>
      </c>
      <c r="DL150" s="5">
        <v>0.40671018117174501</v>
      </c>
      <c r="DM150" s="5">
        <v>-0.10000181214352701</v>
      </c>
      <c r="DN150" s="5">
        <v>-0.29443883339791599</v>
      </c>
      <c r="DO150" s="5">
        <v>0.19964478591016499</v>
      </c>
      <c r="DP150" s="5">
        <v>9.6026574858421601E-2</v>
      </c>
      <c r="DQ150" s="5">
        <v>0.18271313197295599</v>
      </c>
      <c r="DR150" s="5">
        <v>4.2717738532242602E-2</v>
      </c>
      <c r="DS150" s="5">
        <v>0.13797945969637801</v>
      </c>
      <c r="DT150" s="5">
        <v>0.16204974101546099</v>
      </c>
      <c r="DU150" s="5">
        <v>2.4931678273481701E-2</v>
      </c>
      <c r="DV150" s="5">
        <v>0.30670139039696398</v>
      </c>
      <c r="DW150" s="5">
        <v>-0.121770858563406</v>
      </c>
      <c r="DX150" s="5">
        <v>-0.19729122110375599</v>
      </c>
      <c r="DY150" s="5">
        <v>0.233109016280417</v>
      </c>
      <c r="DZ150" s="5">
        <v>0.14967414680984401</v>
      </c>
      <c r="EA150" s="5">
        <v>-0.231929690172332</v>
      </c>
      <c r="EB150" s="5">
        <v>0.46905506386301399</v>
      </c>
      <c r="EC150" s="5">
        <v>-0.233387952488114</v>
      </c>
      <c r="ED150" s="5">
        <v>0.410897929864881</v>
      </c>
      <c r="EE150" s="5">
        <v>-0.16673591153886799</v>
      </c>
      <c r="EF150" s="5">
        <v>0.54949603606331099</v>
      </c>
      <c r="EG150" s="5">
        <v>-0.32140078704348601</v>
      </c>
      <c r="EH150" s="5">
        <v>0.53553410695764603</v>
      </c>
      <c r="EI150" s="5">
        <v>-0.24212812871278899</v>
      </c>
      <c r="EJ150" s="5">
        <v>0.49178471621182301</v>
      </c>
      <c r="EK150" s="5">
        <v>-0.21378199324078601</v>
      </c>
      <c r="EL150" s="5">
        <v>0.57568942443784898</v>
      </c>
      <c r="EM150" s="5">
        <v>-0.34408731553362598</v>
      </c>
      <c r="EN150" s="5">
        <v>-3.1380391648545503E-2</v>
      </c>
      <c r="EO150" s="5">
        <v>0.40363651377941701</v>
      </c>
      <c r="EP150" s="5">
        <v>0.48731386315098202</v>
      </c>
      <c r="EQ150" s="5">
        <v>-0.24981439135644801</v>
      </c>
      <c r="ER150" s="5">
        <v>0.51846060138646399</v>
      </c>
      <c r="ES150" s="5">
        <v>-0.25099511792412299</v>
      </c>
      <c r="ET150" s="5">
        <v>1</v>
      </c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</row>
    <row r="151" spans="1:389" x14ac:dyDescent="0.45">
      <c r="A151" s="4" t="str">
        <f ca="1">"GUF / beta2dist in "&amp;CELL("address",'damages-1990'!$K$76)</f>
        <v>GUF / beta2dist in '[BHM betas v3pd.xlsx]damages-1990'!$K$76</v>
      </c>
      <c r="B151" s="6">
        <v>-0.10060571510349101</v>
      </c>
      <c r="C151" s="5">
        <v>6.3517616473535099E-2</v>
      </c>
      <c r="D151" s="5">
        <v>-0.48399292880342798</v>
      </c>
      <c r="E151" s="5">
        <v>0.61862989870238605</v>
      </c>
      <c r="F151" s="5">
        <v>2.52819188252115E-2</v>
      </c>
      <c r="G151" s="5">
        <v>-0.123812572423195</v>
      </c>
      <c r="H151" s="5">
        <v>0.129476491884536</v>
      </c>
      <c r="I151" s="5">
        <v>-0.15255785049873999</v>
      </c>
      <c r="J151" s="5">
        <v>-6.5816481409534694E-2</v>
      </c>
      <c r="K151" s="5">
        <v>4.7127890623048702E-2</v>
      </c>
      <c r="L151" s="5">
        <v>-3.2928959341722602E-2</v>
      </c>
      <c r="M151" s="5">
        <v>-6.2859218153495003E-2</v>
      </c>
      <c r="N151" s="5">
        <v>-0.221181463340135</v>
      </c>
      <c r="O151" s="5">
        <v>0.30426673270209398</v>
      </c>
      <c r="P151" s="5">
        <v>-0.53727440245138003</v>
      </c>
      <c r="Q151" s="5">
        <v>0.57422039108410505</v>
      </c>
      <c r="R151" s="5">
        <v>-0.156955478110197</v>
      </c>
      <c r="S151" s="5">
        <v>0.25208740779140498</v>
      </c>
      <c r="T151" s="5">
        <v>-0.19755829825823701</v>
      </c>
      <c r="U151" s="5">
        <v>0.24441318986961</v>
      </c>
      <c r="V151" s="5">
        <v>-4.2786738788081098E-2</v>
      </c>
      <c r="W151" s="5">
        <v>-3.4451738562499098E-2</v>
      </c>
      <c r="X151" s="5">
        <v>-0.447124897228459</v>
      </c>
      <c r="Y151" s="5">
        <v>0.52969538584730003</v>
      </c>
      <c r="Z151" s="5">
        <v>-7.8584483437104793E-2</v>
      </c>
      <c r="AA151" s="5">
        <v>9.3770184259663006E-2</v>
      </c>
      <c r="AB151" s="5">
        <v>-0.369859109847957</v>
      </c>
      <c r="AC151" s="5">
        <v>0.54358145750500297</v>
      </c>
      <c r="AD151" s="5">
        <v>-0.246245702153577</v>
      </c>
      <c r="AE151" s="5">
        <v>0.40962906018534601</v>
      </c>
      <c r="AF151" s="5">
        <v>-0.170950797326751</v>
      </c>
      <c r="AG151" s="5">
        <v>0.22182187961733801</v>
      </c>
      <c r="AH151" s="5">
        <v>-4.9245719622188197E-2</v>
      </c>
      <c r="AI151" s="5">
        <v>-1.6584483263688699E-3</v>
      </c>
      <c r="AJ151" s="5">
        <v>-0.11374944977795801</v>
      </c>
      <c r="AK151" s="5">
        <v>6.5834044313797302E-2</v>
      </c>
      <c r="AL151" s="5">
        <v>-8.9805228883750796E-2</v>
      </c>
      <c r="AM151" s="5">
        <v>9.0641582718071406E-2</v>
      </c>
      <c r="AN151" s="5">
        <v>-0.18300561215119401</v>
      </c>
      <c r="AO151" s="5">
        <v>0.21384464160205499</v>
      </c>
      <c r="AP151" s="5">
        <v>-8.9155174582481195E-3</v>
      </c>
      <c r="AQ151" s="5">
        <v>5.0746031225489603E-2</v>
      </c>
      <c r="AR151" s="5">
        <v>-0.31985522140554001</v>
      </c>
      <c r="AS151" s="5">
        <v>0.413582977875456</v>
      </c>
      <c r="AT151" s="5">
        <v>-2.5552112566307201E-2</v>
      </c>
      <c r="AU151" s="5">
        <v>1.9782905770503401E-2</v>
      </c>
      <c r="AV151" s="5">
        <v>-0.22514654038416901</v>
      </c>
      <c r="AW151" s="5">
        <v>0.373327815841897</v>
      </c>
      <c r="AX151" s="5">
        <v>-0.37144140077113702</v>
      </c>
      <c r="AY151" s="5">
        <v>0.57375423856832497</v>
      </c>
      <c r="AZ151" s="5">
        <v>-0.49482287958479598</v>
      </c>
      <c r="BA151" s="5">
        <v>0.51303530392456798</v>
      </c>
      <c r="BB151" s="5">
        <v>-9.0923659425322004E-2</v>
      </c>
      <c r="BC151" s="5">
        <v>0.17369910706540501</v>
      </c>
      <c r="BD151" s="5">
        <v>-4.9249441217558303E-2</v>
      </c>
      <c r="BE151" s="5">
        <v>-2.7024908799735698E-3</v>
      </c>
      <c r="BF151" s="5">
        <v>-0.47522182700033</v>
      </c>
      <c r="BG151" s="5">
        <v>0.57233494363866899</v>
      </c>
      <c r="BH151" s="5">
        <v>-0.383209942224916</v>
      </c>
      <c r="BI151" s="5">
        <v>0.54381923786185404</v>
      </c>
      <c r="BJ151" s="5">
        <v>-2.6778284228832501E-2</v>
      </c>
      <c r="BK151" s="5">
        <v>1.67818486146235E-2</v>
      </c>
      <c r="BL151" s="5">
        <v>-0.17501660884745701</v>
      </c>
      <c r="BM151" s="5">
        <v>0.22227214301927101</v>
      </c>
      <c r="BN151" s="5">
        <v>9.2991834184860803E-2</v>
      </c>
      <c r="BO151" s="5">
        <v>-0.16862449546877201</v>
      </c>
      <c r="BP151" s="5">
        <v>0.155205561139028</v>
      </c>
      <c r="BQ151" s="5">
        <v>-0.31060661376007798</v>
      </c>
      <c r="BR151" s="5">
        <v>-0.26668455683513398</v>
      </c>
      <c r="BS151" s="5">
        <v>0.45552820247192999</v>
      </c>
      <c r="BT151" s="5">
        <v>-0.28969479555935701</v>
      </c>
      <c r="BU151" s="5">
        <v>0.46893812181657701</v>
      </c>
      <c r="BV151" s="5">
        <v>-0.32251437282617301</v>
      </c>
      <c r="BW151" s="5">
        <v>0.46525396244119699</v>
      </c>
      <c r="BX151" s="5">
        <v>-0.31890249190903303</v>
      </c>
      <c r="BY151" s="5">
        <v>0.49930370193454998</v>
      </c>
      <c r="BZ151" s="5">
        <v>-0.30490525497741</v>
      </c>
      <c r="CA151" s="5">
        <v>0.47881499048195503</v>
      </c>
      <c r="CB151" s="5">
        <v>-0.30494666335835002</v>
      </c>
      <c r="CC151" s="5">
        <v>0.382466111300234</v>
      </c>
      <c r="CD151" s="5">
        <v>-0.22951991691533499</v>
      </c>
      <c r="CE151" s="5">
        <v>0.25644294669155299</v>
      </c>
      <c r="CF151" s="5">
        <v>-0.69350133592070795</v>
      </c>
      <c r="CG151" s="5">
        <v>0.76086540046558804</v>
      </c>
      <c r="CH151" s="5">
        <v>-0.11258547614558601</v>
      </c>
      <c r="CI151" s="5">
        <v>0.15366598593707301</v>
      </c>
      <c r="CJ151" s="5">
        <v>0.18200646094286699</v>
      </c>
      <c r="CK151" s="5">
        <v>-0.32463168441648099</v>
      </c>
      <c r="CL151" s="5">
        <v>-0.11979910303658101</v>
      </c>
      <c r="CM151" s="5">
        <v>0.158412891912797</v>
      </c>
      <c r="CN151" s="5">
        <v>-7.1299974874146396E-2</v>
      </c>
      <c r="CO151" s="5">
        <v>9.2838113334434896E-2</v>
      </c>
      <c r="CP151" s="5">
        <v>-0.22656943912097099</v>
      </c>
      <c r="CQ151" s="5">
        <v>0.30619292094114098</v>
      </c>
      <c r="CR151" s="5">
        <v>-0.54666298960147297</v>
      </c>
      <c r="CS151" s="5">
        <v>0.56925535779586001</v>
      </c>
      <c r="CT151" s="5">
        <v>-3.0759092068494101E-2</v>
      </c>
      <c r="CU151" s="5">
        <v>5.8726154015159397E-2</v>
      </c>
      <c r="CV151" s="5">
        <v>-0.36348317496328802</v>
      </c>
      <c r="CW151" s="5">
        <v>0.42650122382387601</v>
      </c>
      <c r="CX151" s="5">
        <v>-0.15357640886363999</v>
      </c>
      <c r="CY151" s="5">
        <v>0.19604717869475199</v>
      </c>
      <c r="CZ151" s="5">
        <v>-0.43102053102020499</v>
      </c>
      <c r="DA151" s="5">
        <v>0.58653245790256903</v>
      </c>
      <c r="DB151" s="5">
        <v>-2.7685446556352699E-2</v>
      </c>
      <c r="DC151" s="5">
        <v>-9.8257756370042804E-2</v>
      </c>
      <c r="DD151" s="5">
        <v>-0.199961204631666</v>
      </c>
      <c r="DE151" s="5">
        <v>0.290271319382435</v>
      </c>
      <c r="DF151" s="5">
        <v>-0.31071340925750401</v>
      </c>
      <c r="DG151" s="5">
        <v>0.36774076587135301</v>
      </c>
      <c r="DH151" s="5">
        <v>-0.144578190830393</v>
      </c>
      <c r="DI151" s="5">
        <v>0.11577668949922</v>
      </c>
      <c r="DJ151" s="5">
        <v>3.2650551340306498E-2</v>
      </c>
      <c r="DK151" s="5">
        <v>1.33648807477187E-2</v>
      </c>
      <c r="DL151" s="5">
        <v>-0.25035712203337002</v>
      </c>
      <c r="DM151" s="5">
        <v>0.360385468264042</v>
      </c>
      <c r="DN151" s="5">
        <v>5.2427416634710997E-2</v>
      </c>
      <c r="DO151" s="5">
        <v>-2.08465035448199E-2</v>
      </c>
      <c r="DP151" s="5">
        <v>0.21919368786525101</v>
      </c>
      <c r="DQ151" s="5">
        <v>-0.25671502290466802</v>
      </c>
      <c r="DR151" s="5">
        <v>-6.4832922820977704E-2</v>
      </c>
      <c r="DS151" s="5">
        <v>5.5907707902098702E-2</v>
      </c>
      <c r="DT151" s="5">
        <v>-0.13250489326425999</v>
      </c>
      <c r="DU151" s="5">
        <v>0.13344489830781101</v>
      </c>
      <c r="DV151" s="5">
        <v>-0.23421947242857699</v>
      </c>
      <c r="DW151" s="5">
        <v>0.39895535735902499</v>
      </c>
      <c r="DX151" s="5">
        <v>7.8424940510252006E-2</v>
      </c>
      <c r="DY151" s="5">
        <v>-8.5935574136210405E-2</v>
      </c>
      <c r="DZ151" s="5">
        <v>-0.24771924690019201</v>
      </c>
      <c r="EA151" s="5">
        <v>0.36441881811482701</v>
      </c>
      <c r="EB151" s="5">
        <v>-0.37409775240083798</v>
      </c>
      <c r="EC151" s="5">
        <v>0.51448849563450805</v>
      </c>
      <c r="ED151" s="5">
        <v>-0.30225495059270602</v>
      </c>
      <c r="EE151" s="5">
        <v>0.45754546752182501</v>
      </c>
      <c r="EF151" s="5">
        <v>-0.56804280740384405</v>
      </c>
      <c r="EG151" s="5">
        <v>0.58480744456711897</v>
      </c>
      <c r="EH151" s="5">
        <v>-0.34761611856986702</v>
      </c>
      <c r="EI151" s="5">
        <v>0.46591930127145498</v>
      </c>
      <c r="EJ151" s="5">
        <v>-0.33531300489341098</v>
      </c>
      <c r="EK151" s="5">
        <v>0.475522770185489</v>
      </c>
      <c r="EL151" s="5">
        <v>-0.370014035639254</v>
      </c>
      <c r="EM151" s="5">
        <v>0.52788759407577501</v>
      </c>
      <c r="EN151" s="5">
        <v>0.259879712636569</v>
      </c>
      <c r="EO151" s="5">
        <v>-0.41653806758652101</v>
      </c>
      <c r="EP151" s="5">
        <v>-0.45499148088161501</v>
      </c>
      <c r="EQ151" s="5">
        <v>0.47937137625619303</v>
      </c>
      <c r="ER151" s="5">
        <v>-0.29649012687951998</v>
      </c>
      <c r="ES151" s="5">
        <v>0.41181407267859199</v>
      </c>
      <c r="ET151" s="5">
        <v>-0.80812625333187804</v>
      </c>
      <c r="EU151" s="5">
        <v>1</v>
      </c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</row>
    <row r="152" spans="1:389" x14ac:dyDescent="0.45">
      <c r="A152" s="4" t="str">
        <f ca="1">"GUY / beta1dist in "&amp;CELL("address",'damages-1990'!$J$77)</f>
        <v>GUY / beta1dist in '[BHM betas v3pd.xlsx]damages-1990'!$J$77</v>
      </c>
      <c r="B152" s="6">
        <v>0.20790535724652501</v>
      </c>
      <c r="C152" s="5">
        <v>0.13471441692983499</v>
      </c>
      <c r="D152" s="5">
        <v>0.57105677914723596</v>
      </c>
      <c r="E152" s="5">
        <v>-0.33827873368714501</v>
      </c>
      <c r="F152" s="5">
        <v>4.0626352500125001E-2</v>
      </c>
      <c r="G152" s="5">
        <v>0.25527069534927099</v>
      </c>
      <c r="H152" s="5">
        <v>-0.319706421074826</v>
      </c>
      <c r="I152" s="5">
        <v>0.26363594925231298</v>
      </c>
      <c r="J152" s="5">
        <v>0.43991611801322</v>
      </c>
      <c r="K152" s="5">
        <v>-8.0033244409610599E-2</v>
      </c>
      <c r="L152" s="5">
        <v>0.23772890899198601</v>
      </c>
      <c r="M152" s="5">
        <v>0.13373055235186501</v>
      </c>
      <c r="N152" s="5">
        <v>-7.6425517841264496E-3</v>
      </c>
      <c r="O152" s="5">
        <v>-3.6064377655559497E-2</v>
      </c>
      <c r="P152" s="5">
        <v>0.45828870688662199</v>
      </c>
      <c r="Q152" s="5">
        <v>-0.28867543628585002</v>
      </c>
      <c r="R152" s="5">
        <v>0.43056663842674098</v>
      </c>
      <c r="S152" s="5">
        <v>-0.14828271195749901</v>
      </c>
      <c r="T152" s="5">
        <v>-6.8503343710981393E-2</v>
      </c>
      <c r="U152" s="5">
        <v>3.8602690631254197E-2</v>
      </c>
      <c r="V152" s="5">
        <v>0.180127331141545</v>
      </c>
      <c r="W152" s="5">
        <v>0.1911491083164</v>
      </c>
      <c r="X152" s="5">
        <v>0.51231903181659699</v>
      </c>
      <c r="Y152" s="5">
        <v>-0.22268057410063199</v>
      </c>
      <c r="Z152" s="5">
        <v>-5.9924348825061799E-2</v>
      </c>
      <c r="AA152" s="5">
        <v>0.139296365811447</v>
      </c>
      <c r="AB152" s="5">
        <v>0.50813807005075795</v>
      </c>
      <c r="AC152" s="5">
        <v>-0.40593282608979098</v>
      </c>
      <c r="AD152" s="5">
        <v>0.40405576666186199</v>
      </c>
      <c r="AE152" s="5">
        <v>-0.28820369220363601</v>
      </c>
      <c r="AF152" s="5">
        <v>0.57111231277200503</v>
      </c>
      <c r="AG152" s="5">
        <v>-0.32817492184372199</v>
      </c>
      <c r="AH152" s="5">
        <v>3.4405992963147197E-2</v>
      </c>
      <c r="AI152" s="5">
        <v>0.18885518013512001</v>
      </c>
      <c r="AJ152" s="5">
        <v>0.45320818551394398</v>
      </c>
      <c r="AK152" s="5">
        <v>-5.6238372720008499E-2</v>
      </c>
      <c r="AL152" s="5">
        <v>0.26337480056989698</v>
      </c>
      <c r="AM152" s="5">
        <v>-6.0148603566806E-2</v>
      </c>
      <c r="AN152" s="5">
        <v>-4.6551887412501396E-3</v>
      </c>
      <c r="AO152" s="5">
        <v>9.6116712193580103E-2</v>
      </c>
      <c r="AP152" s="5">
        <v>-0.15665636602400901</v>
      </c>
      <c r="AQ152" s="5">
        <v>0.114923165739171</v>
      </c>
      <c r="AR152" s="5">
        <v>0.62354560389083002</v>
      </c>
      <c r="AS152" s="5">
        <v>-0.44504399737991002</v>
      </c>
      <c r="AT152" s="5">
        <v>0.134126123550347</v>
      </c>
      <c r="AU152" s="5">
        <v>6.5567752193511394E-2</v>
      </c>
      <c r="AV152" s="5">
        <v>0.62795257309546804</v>
      </c>
      <c r="AW152" s="5">
        <v>-0.42392030340609899</v>
      </c>
      <c r="AX152" s="5">
        <v>0.70201368041799606</v>
      </c>
      <c r="AY152" s="5">
        <v>-0.51445246521746901</v>
      </c>
      <c r="AZ152" s="5">
        <v>0.53053671472637398</v>
      </c>
      <c r="BA152" s="5">
        <v>-0.36394320758651</v>
      </c>
      <c r="BB152" s="5">
        <v>0.39244802633824799</v>
      </c>
      <c r="BC152" s="5">
        <v>-0.124213132048894</v>
      </c>
      <c r="BD152" s="5">
        <v>-1.0017770122801299E-2</v>
      </c>
      <c r="BE152" s="5">
        <v>0.35675978576766398</v>
      </c>
      <c r="BF152" s="5">
        <v>0.448142068368443</v>
      </c>
      <c r="BG152" s="5">
        <v>-0.205951653958592</v>
      </c>
      <c r="BH152" s="5">
        <v>0.586847430702647</v>
      </c>
      <c r="BI152" s="5">
        <v>-0.40420178672072699</v>
      </c>
      <c r="BJ152" s="5">
        <v>-0.41022753054547201</v>
      </c>
      <c r="BK152" s="5">
        <v>0.271562141403633</v>
      </c>
      <c r="BL152" s="5">
        <v>-7.9391916102694401E-2</v>
      </c>
      <c r="BM152" s="5">
        <v>1.51758094575834E-2</v>
      </c>
      <c r="BN152" s="5">
        <v>-0.108665935644175</v>
      </c>
      <c r="BO152" s="5">
        <v>0.18995636060528501</v>
      </c>
      <c r="BP152" s="5">
        <v>-0.366988358418746</v>
      </c>
      <c r="BQ152" s="5">
        <v>0.56096310130059102</v>
      </c>
      <c r="BR152" s="5">
        <v>0.37881296345833199</v>
      </c>
      <c r="BS152" s="5">
        <v>-0.28915361223520702</v>
      </c>
      <c r="BT152" s="5">
        <v>0.58618953861467704</v>
      </c>
      <c r="BU152" s="5">
        <v>-0.40635963913836598</v>
      </c>
      <c r="BV152" s="5">
        <v>0.53020850770870298</v>
      </c>
      <c r="BW152" s="5">
        <v>-0.31218478173972303</v>
      </c>
      <c r="BX152" s="5">
        <v>0.42885396908261503</v>
      </c>
      <c r="BY152" s="5">
        <v>-0.28854784856252402</v>
      </c>
      <c r="BZ152" s="5">
        <v>0.58655442935900504</v>
      </c>
      <c r="CA152" s="5">
        <v>-0.42475339029919401</v>
      </c>
      <c r="CB152" s="5">
        <v>0.418641340668094</v>
      </c>
      <c r="CC152" s="5">
        <v>-0.26653395039548999</v>
      </c>
      <c r="CD152" s="5">
        <v>0.34486271173778998</v>
      </c>
      <c r="CE152" s="5">
        <v>-0.182801195578666</v>
      </c>
      <c r="CF152" s="5">
        <v>0.72432121506588099</v>
      </c>
      <c r="CG152" s="5">
        <v>-0.557539150064158</v>
      </c>
      <c r="CH152" s="5">
        <v>0.300910969265684</v>
      </c>
      <c r="CI152" s="5">
        <v>-0.16533446891679701</v>
      </c>
      <c r="CJ152" s="5">
        <v>0.26480142423378</v>
      </c>
      <c r="CK152" s="5">
        <v>6.0925478210740597E-2</v>
      </c>
      <c r="CL152" s="5">
        <v>-8.5914564560618495E-2</v>
      </c>
      <c r="CM152" s="5">
        <v>0.101142090941873</v>
      </c>
      <c r="CN152" s="5">
        <v>-9.9115263898884906E-2</v>
      </c>
      <c r="CO152" s="5">
        <v>0.14554644675721901</v>
      </c>
      <c r="CP152" s="5">
        <v>0.35743457741948598</v>
      </c>
      <c r="CQ152" s="5">
        <v>-0.227764570723443</v>
      </c>
      <c r="CR152" s="5">
        <v>0.50796924475670602</v>
      </c>
      <c r="CS152" s="5">
        <v>-0.33596690037152099</v>
      </c>
      <c r="CT152" s="5">
        <v>-0.116904951572528</v>
      </c>
      <c r="CU152" s="5">
        <v>9.5556824896443501E-2</v>
      </c>
      <c r="CV152" s="5">
        <v>0.36554747202820498</v>
      </c>
      <c r="CW152" s="5">
        <v>-0.193740365694795</v>
      </c>
      <c r="CX152" s="5">
        <v>0.49934692385964502</v>
      </c>
      <c r="CY152" s="5">
        <v>-0.209939832744478</v>
      </c>
      <c r="CZ152" s="5">
        <v>0.59047252325523503</v>
      </c>
      <c r="DA152" s="5">
        <v>-0.40975867888786499</v>
      </c>
      <c r="DB152" s="5">
        <v>0.38368948240231299</v>
      </c>
      <c r="DC152" s="5">
        <v>7.6852200296490994E-2</v>
      </c>
      <c r="DD152" s="5">
        <v>0.36104768465429898</v>
      </c>
      <c r="DE152" s="5">
        <v>-0.17264378954623899</v>
      </c>
      <c r="DF152" s="5">
        <v>0.58318667874716701</v>
      </c>
      <c r="DG152" s="5">
        <v>-0.34966931019424102</v>
      </c>
      <c r="DH152" s="5">
        <v>0.26055160912042702</v>
      </c>
      <c r="DI152" s="5">
        <v>4.42390299994566E-2</v>
      </c>
      <c r="DJ152" s="5">
        <v>-0.20646872812008901</v>
      </c>
      <c r="DK152" s="5">
        <v>0.13175575953265301</v>
      </c>
      <c r="DL152" s="5">
        <v>0.47515185262660198</v>
      </c>
      <c r="DM152" s="5">
        <v>-0.24220015320371999</v>
      </c>
      <c r="DN152" s="5">
        <v>-0.27666967404383802</v>
      </c>
      <c r="DO152" s="5">
        <v>0.15138597345699101</v>
      </c>
      <c r="DP152" s="5">
        <v>0.118585087536908</v>
      </c>
      <c r="DQ152" s="5">
        <v>0.16863581830278301</v>
      </c>
      <c r="DR152" s="5">
        <v>1.53656113182021E-2</v>
      </c>
      <c r="DS152" s="5">
        <v>0.15846380958036299</v>
      </c>
      <c r="DT152" s="5">
        <v>0.38048096100513401</v>
      </c>
      <c r="DU152" s="5">
        <v>-0.20536273551290801</v>
      </c>
      <c r="DV152" s="5">
        <v>0.220376799611503</v>
      </c>
      <c r="DW152" s="5">
        <v>-9.5306221416213005E-2</v>
      </c>
      <c r="DX152" s="5">
        <v>-0.21078463541276099</v>
      </c>
      <c r="DY152" s="5">
        <v>0.220795548554969</v>
      </c>
      <c r="DZ152" s="5">
        <v>2.6227687285752901E-3</v>
      </c>
      <c r="EA152" s="5">
        <v>-3.63499936081337E-2</v>
      </c>
      <c r="EB152" s="5">
        <v>0.53157053069047899</v>
      </c>
      <c r="EC152" s="5">
        <v>-0.37238805521146701</v>
      </c>
      <c r="ED152" s="5">
        <v>0.47582413611907098</v>
      </c>
      <c r="EE152" s="5">
        <v>-0.311214100204113</v>
      </c>
      <c r="EF152" s="5">
        <v>0.48542714085894301</v>
      </c>
      <c r="EG152" s="5">
        <v>-0.31623497745359602</v>
      </c>
      <c r="EH152" s="5">
        <v>0.57453541326620505</v>
      </c>
      <c r="EI152" s="5">
        <v>-0.35793567755996197</v>
      </c>
      <c r="EJ152" s="5">
        <v>0.52548260659026602</v>
      </c>
      <c r="EK152" s="5">
        <v>-0.31708114891834499</v>
      </c>
      <c r="EL152" s="5">
        <v>0.63125460173478998</v>
      </c>
      <c r="EM152" s="5">
        <v>-0.48726211739543002</v>
      </c>
      <c r="EN152" s="5">
        <v>0.11672692264544</v>
      </c>
      <c r="EO152" s="5">
        <v>0.22158269293411101</v>
      </c>
      <c r="EP152" s="5">
        <v>0.48496720771380403</v>
      </c>
      <c r="EQ152" s="5">
        <v>-0.30124303349272002</v>
      </c>
      <c r="ER152" s="5">
        <v>0.62587371605572595</v>
      </c>
      <c r="ES152" s="5">
        <v>-0.42195670065798602</v>
      </c>
      <c r="ET152" s="5">
        <v>0.71471856731251904</v>
      </c>
      <c r="EU152" s="5">
        <v>-0.53952940288637796</v>
      </c>
      <c r="EV152" s="5">
        <v>1</v>
      </c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</row>
    <row r="153" spans="1:389" x14ac:dyDescent="0.45">
      <c r="A153" s="4" t="str">
        <f ca="1">"GUY / beta2dist in "&amp;CELL("address",'damages-1990'!$K$77)</f>
        <v>GUY / beta2dist in '[BHM betas v3pd.xlsx]damages-1990'!$K$77</v>
      </c>
      <c r="B153" s="6">
        <v>-0.11386680424335099</v>
      </c>
      <c r="C153" s="5">
        <v>0.11951156095612001</v>
      </c>
      <c r="D153" s="5">
        <v>-0.38446847752228802</v>
      </c>
      <c r="E153" s="5">
        <v>0.60670675620916703</v>
      </c>
      <c r="F153" s="5">
        <v>-1.0917694793289599E-2</v>
      </c>
      <c r="G153" s="5">
        <v>-5.1806545619182499E-2</v>
      </c>
      <c r="H153" s="5">
        <v>0.112670428917307</v>
      </c>
      <c r="I153" s="5">
        <v>-0.134387556620016</v>
      </c>
      <c r="J153" s="5">
        <v>-0.18524302257952199</v>
      </c>
      <c r="K153" s="5">
        <v>0.240936747052026</v>
      </c>
      <c r="L153" s="5">
        <v>2.7446939769677002E-3</v>
      </c>
      <c r="M153" s="5">
        <v>-7.2817257340220695E-2</v>
      </c>
      <c r="N153" s="5">
        <v>-5.7643498779952597E-2</v>
      </c>
      <c r="O153" s="5">
        <v>7.1799823517967598E-2</v>
      </c>
      <c r="P153" s="5">
        <v>-0.454815646535427</v>
      </c>
      <c r="Q153" s="5">
        <v>0.54035561968220203</v>
      </c>
      <c r="R153" s="5">
        <v>-0.225116587057065</v>
      </c>
      <c r="S153" s="5">
        <v>0.39494878643347903</v>
      </c>
      <c r="T153" s="5">
        <v>-0.12397925797098</v>
      </c>
      <c r="U153" s="5">
        <v>0.14564846357342101</v>
      </c>
      <c r="V153" s="5">
        <v>-2.89331256434971E-2</v>
      </c>
      <c r="W153" s="5">
        <v>-6.0436689941279903E-2</v>
      </c>
      <c r="X153" s="5">
        <v>-0.36966426002334501</v>
      </c>
      <c r="Y153" s="5">
        <v>0.50264675154126603</v>
      </c>
      <c r="Z153" s="5">
        <v>-5.87564320838753E-2</v>
      </c>
      <c r="AA153" s="5">
        <v>7.04414049873055E-2</v>
      </c>
      <c r="AB153" s="5">
        <v>-0.39651024235884302</v>
      </c>
      <c r="AC153" s="5">
        <v>0.65763134219718899</v>
      </c>
      <c r="AD153" s="5">
        <v>-0.32555939947634199</v>
      </c>
      <c r="AE153" s="5">
        <v>0.57219136493562806</v>
      </c>
      <c r="AF153" s="5">
        <v>-0.28388231967757999</v>
      </c>
      <c r="AG153" s="5">
        <v>0.39505946949446702</v>
      </c>
      <c r="AH153" s="5">
        <v>-4.3076496356906802E-2</v>
      </c>
      <c r="AI153" s="5">
        <v>5.5919408376716301E-3</v>
      </c>
      <c r="AJ153" s="5">
        <v>-0.24440922124164399</v>
      </c>
      <c r="AK153" s="5">
        <v>0.23702273503602</v>
      </c>
      <c r="AL153" s="5">
        <v>4.7542364454560199E-2</v>
      </c>
      <c r="AM153" s="5">
        <v>-4.1258138265326802E-2</v>
      </c>
      <c r="AN153" s="5">
        <v>-0.10290752610545401</v>
      </c>
      <c r="AO153" s="5">
        <v>0.111503380450275</v>
      </c>
      <c r="AP153" s="5">
        <v>-9.2334654290404106E-2</v>
      </c>
      <c r="AQ153" s="5">
        <v>0.150146123109789</v>
      </c>
      <c r="AR153" s="5">
        <v>-0.37272877157399498</v>
      </c>
      <c r="AS153" s="5">
        <v>0.54192591412388902</v>
      </c>
      <c r="AT153" s="5">
        <v>0.17519385932673301</v>
      </c>
      <c r="AU153" s="5">
        <v>-0.197673558088793</v>
      </c>
      <c r="AV153" s="5">
        <v>-0.33321860954557198</v>
      </c>
      <c r="AW153" s="5">
        <v>0.60373332462434603</v>
      </c>
      <c r="AX153" s="5">
        <v>-0.43089258602055802</v>
      </c>
      <c r="AY153" s="5">
        <v>0.72294787552374096</v>
      </c>
      <c r="AZ153" s="5">
        <v>-0.46965922458049097</v>
      </c>
      <c r="BA153" s="5">
        <v>0.55903418539128202</v>
      </c>
      <c r="BB153" s="5">
        <v>-0.150083956888445</v>
      </c>
      <c r="BC153" s="5">
        <v>0.316843462726283</v>
      </c>
      <c r="BD153" s="5">
        <v>-1.0249475633823101E-2</v>
      </c>
      <c r="BE153" s="5">
        <v>-2.8927704895295499E-2</v>
      </c>
      <c r="BF153" s="5">
        <v>-0.27860968230493399</v>
      </c>
      <c r="BG153" s="5">
        <v>0.40093090507908202</v>
      </c>
      <c r="BH153" s="5">
        <v>-0.38574372836825799</v>
      </c>
      <c r="BI153" s="5">
        <v>0.65033460649756603</v>
      </c>
      <c r="BJ153" s="5">
        <v>0.134017495202186</v>
      </c>
      <c r="BK153" s="5">
        <v>-0.23264482564428501</v>
      </c>
      <c r="BL153" s="5">
        <v>-0.145421167257478</v>
      </c>
      <c r="BM153" s="5">
        <v>0.169568684252528</v>
      </c>
      <c r="BN153" s="5">
        <v>2.4488702974813099E-2</v>
      </c>
      <c r="BO153" s="5">
        <v>-9.3561841661562006E-2</v>
      </c>
      <c r="BP153" s="5">
        <v>0.215284123670097</v>
      </c>
      <c r="BQ153" s="5">
        <v>-0.41139474795653602</v>
      </c>
      <c r="BR153" s="5">
        <v>-0.38052881378446302</v>
      </c>
      <c r="BS153" s="5">
        <v>0.63640624580385097</v>
      </c>
      <c r="BT153" s="5">
        <v>-0.37029007556000898</v>
      </c>
      <c r="BU153" s="5">
        <v>0.66451388445154203</v>
      </c>
      <c r="BV153" s="5">
        <v>-0.36060156046434699</v>
      </c>
      <c r="BW153" s="5">
        <v>0.60128660848704196</v>
      </c>
      <c r="BX153" s="5">
        <v>-0.29698461723448799</v>
      </c>
      <c r="BY153" s="5">
        <v>0.58108704361167896</v>
      </c>
      <c r="BZ153" s="5">
        <v>-0.422579216470718</v>
      </c>
      <c r="CA153" s="5">
        <v>0.68370360186582302</v>
      </c>
      <c r="CB153" s="5">
        <v>-0.28688320232381098</v>
      </c>
      <c r="CC153" s="5">
        <v>0.45521404708482599</v>
      </c>
      <c r="CD153" s="5">
        <v>-0.179497371018359</v>
      </c>
      <c r="CE153" s="5">
        <v>0.25803369512073598</v>
      </c>
      <c r="CF153" s="5">
        <v>-0.61080310682207095</v>
      </c>
      <c r="CG153" s="5">
        <v>0.74805836528524505</v>
      </c>
      <c r="CH153" s="5">
        <v>-8.2109049556397893E-3</v>
      </c>
      <c r="CI153" s="5">
        <v>6.7897240921691707E-2</v>
      </c>
      <c r="CJ153" s="5">
        <v>-8.4860424772150805E-2</v>
      </c>
      <c r="CK153" s="5">
        <v>8.7656683055542303E-3</v>
      </c>
      <c r="CL153" s="5">
        <v>-6.1553282226755497E-2</v>
      </c>
      <c r="CM153" s="5">
        <v>7.81084842725321E-2</v>
      </c>
      <c r="CN153" s="5">
        <v>-4.6163286458642899E-2</v>
      </c>
      <c r="CO153" s="5">
        <v>5.73532747323088E-2</v>
      </c>
      <c r="CP153" s="5">
        <v>-0.32767975657135001</v>
      </c>
      <c r="CQ153" s="5">
        <v>0.47973298415114102</v>
      </c>
      <c r="CR153" s="5">
        <v>-0.49124472711609901</v>
      </c>
      <c r="CS153" s="5">
        <v>0.59059215433870405</v>
      </c>
      <c r="CT153" s="5">
        <v>-6.6021598089549494E-2</v>
      </c>
      <c r="CU153" s="5">
        <v>0.108629229090821</v>
      </c>
      <c r="CV153" s="5">
        <v>-0.34476150025693297</v>
      </c>
      <c r="CW153" s="5">
        <v>0.45966427388173497</v>
      </c>
      <c r="CX153" s="5">
        <v>-0.31428383239379698</v>
      </c>
      <c r="CY153" s="5">
        <v>0.43962451132112701</v>
      </c>
      <c r="CZ153" s="5">
        <v>-0.449818302911073</v>
      </c>
      <c r="DA153" s="5">
        <v>0.65276085845297505</v>
      </c>
      <c r="DB153" s="5">
        <v>-0.14091570300085601</v>
      </c>
      <c r="DC153" s="5">
        <v>9.7095799165004604E-2</v>
      </c>
      <c r="DD153" s="5">
        <v>-0.283734300858211</v>
      </c>
      <c r="DE153" s="5">
        <v>0.437350650872179</v>
      </c>
      <c r="DF153" s="5">
        <v>-0.34603942941746202</v>
      </c>
      <c r="DG153" s="5">
        <v>0.45639602165847298</v>
      </c>
      <c r="DH153" s="5">
        <v>-0.18155908476100499</v>
      </c>
      <c r="DI153" s="5">
        <v>0.210349146200277</v>
      </c>
      <c r="DJ153" s="5">
        <v>-6.3607102480533195E-2</v>
      </c>
      <c r="DK153" s="5">
        <v>0.13062588427897001</v>
      </c>
      <c r="DL153" s="5">
        <v>-0.30346294345611702</v>
      </c>
      <c r="DM153" s="5">
        <v>0.49400637331930503</v>
      </c>
      <c r="DN153" s="5">
        <v>-2.1057014356403302E-2</v>
      </c>
      <c r="DO153" s="5">
        <v>8.2267619394240807E-2</v>
      </c>
      <c r="DP153" s="5">
        <v>0.201424828996904</v>
      </c>
      <c r="DQ153" s="5">
        <v>-0.260602169573035</v>
      </c>
      <c r="DR153" s="5">
        <v>-7.2131663562215703E-2</v>
      </c>
      <c r="DS153" s="5">
        <v>8.1786574656502201E-2</v>
      </c>
      <c r="DT153" s="5">
        <v>-0.32565552702221201</v>
      </c>
      <c r="DU153" s="5">
        <v>0.33598721620636302</v>
      </c>
      <c r="DV153" s="5">
        <v>-0.17937022373470701</v>
      </c>
      <c r="DW153" s="5">
        <v>0.40568409716779402</v>
      </c>
      <c r="DX153" s="5">
        <v>2.8527125991630601E-2</v>
      </c>
      <c r="DY153" s="5">
        <v>-7.45467575180234E-3</v>
      </c>
      <c r="DZ153" s="5">
        <v>-8.3726639225765898E-2</v>
      </c>
      <c r="EA153" s="5">
        <v>0.13117130848082301</v>
      </c>
      <c r="EB153" s="5">
        <v>-0.45762364359862101</v>
      </c>
      <c r="EC153" s="5">
        <v>0.67489404827372401</v>
      </c>
      <c r="ED153" s="5">
        <v>-0.38909719991702002</v>
      </c>
      <c r="EE153" s="5">
        <v>0.62335887809205504</v>
      </c>
      <c r="EF153" s="5">
        <v>-0.49676702708604598</v>
      </c>
      <c r="EG153" s="5">
        <v>0.57737193565157696</v>
      </c>
      <c r="EH153" s="5">
        <v>-0.37872636752800898</v>
      </c>
      <c r="EI153" s="5">
        <v>0.58144634253514205</v>
      </c>
      <c r="EJ153" s="5">
        <v>-0.36435489334411802</v>
      </c>
      <c r="EK153" s="5">
        <v>0.58024096691612503</v>
      </c>
      <c r="EL153" s="5">
        <v>-0.42588777094872499</v>
      </c>
      <c r="EM153" s="5">
        <v>0.67839806383230505</v>
      </c>
      <c r="EN153" s="5">
        <v>5.7658183113318801E-2</v>
      </c>
      <c r="EO153" s="5">
        <v>-0.154673741462928</v>
      </c>
      <c r="EP153" s="5">
        <v>-0.43823696057445999</v>
      </c>
      <c r="EQ153" s="5">
        <v>0.52697421999298799</v>
      </c>
      <c r="ER153" s="5">
        <v>-0.38916854246351401</v>
      </c>
      <c r="ES153" s="5">
        <v>0.58021597432335603</v>
      </c>
      <c r="ET153" s="5">
        <v>-0.44495907293770098</v>
      </c>
      <c r="EU153" s="5">
        <v>0.65728320475167301</v>
      </c>
      <c r="EV153" s="5">
        <v>-0.79196720239301399</v>
      </c>
      <c r="EW153" s="5">
        <v>1</v>
      </c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</row>
    <row r="154" spans="1:389" x14ac:dyDescent="0.45">
      <c r="A154" s="4" t="str">
        <f ca="1">"HKG / beta1dist in "&amp;CELL("address",'damages-1990'!$J$78)</f>
        <v>HKG / beta1dist in '[BHM betas v3pd.xlsx]damages-1990'!$J$78</v>
      </c>
      <c r="B154" s="6">
        <v>0.10248461962378801</v>
      </c>
      <c r="C154" s="5">
        <v>0.34421327767503102</v>
      </c>
      <c r="D154" s="5">
        <v>0.40057130007810199</v>
      </c>
      <c r="E154" s="5">
        <v>-3.4256555817156302E-2</v>
      </c>
      <c r="F154" s="5">
        <v>2.2920314246617401E-2</v>
      </c>
      <c r="G154" s="5">
        <v>0.33181921023244099</v>
      </c>
      <c r="H154" s="5">
        <v>-0.27696576156673602</v>
      </c>
      <c r="I154" s="5">
        <v>0.20816707174740201</v>
      </c>
      <c r="J154" s="5">
        <v>0.21604223439450501</v>
      </c>
      <c r="K154" s="5">
        <v>0.22642045275681699</v>
      </c>
      <c r="L154" s="5">
        <v>0.34603863735832302</v>
      </c>
      <c r="M154" s="5">
        <v>-5.8493093875675098E-3</v>
      </c>
      <c r="N154" s="5">
        <v>0.178876565172191</v>
      </c>
      <c r="O154" s="5">
        <v>-0.22670502843166401</v>
      </c>
      <c r="P154" s="5">
        <v>0.184290500183136</v>
      </c>
      <c r="Q154" s="5">
        <v>-2.6107893047612402E-3</v>
      </c>
      <c r="R154" s="5">
        <v>0.337246548700122</v>
      </c>
      <c r="S154" s="5">
        <v>7.00552922686868E-2</v>
      </c>
      <c r="T154" s="5">
        <v>-0.102231197332134</v>
      </c>
      <c r="U154" s="5">
        <v>0.102553978667208</v>
      </c>
      <c r="V154" s="5">
        <v>0.18367019694999601</v>
      </c>
      <c r="W154" s="5">
        <v>0.17696367879352401</v>
      </c>
      <c r="X154" s="5">
        <v>0.356105606627107</v>
      </c>
      <c r="Y154" s="5">
        <v>1.7498761865561201E-2</v>
      </c>
      <c r="Z154" s="5">
        <v>-6.2680871067728697E-2</v>
      </c>
      <c r="AA154" s="5">
        <v>0.17728363833584199</v>
      </c>
      <c r="AB154" s="5">
        <v>0.26282785123005098</v>
      </c>
      <c r="AC154" s="5">
        <v>-4.6756427093931699E-2</v>
      </c>
      <c r="AD154" s="5">
        <v>9.73275706090867E-2</v>
      </c>
      <c r="AE154" s="5">
        <v>0.123234778118858</v>
      </c>
      <c r="AF154" s="5">
        <v>0.63238908472445998</v>
      </c>
      <c r="AG154" s="5">
        <v>-0.32172818941293702</v>
      </c>
      <c r="AH154" s="5">
        <v>1.47182372019629E-2</v>
      </c>
      <c r="AI154" s="5">
        <v>0.26398558654370802</v>
      </c>
      <c r="AJ154" s="5">
        <v>0.246117149996186</v>
      </c>
      <c r="AK154" s="5">
        <v>0.19230001329956101</v>
      </c>
      <c r="AL154" s="5">
        <v>0.43887022898272998</v>
      </c>
      <c r="AM154" s="5">
        <v>-0.21758439232604401</v>
      </c>
      <c r="AN154" s="5">
        <v>1.5232276079374E-2</v>
      </c>
      <c r="AO154" s="5">
        <v>0.119394405929922</v>
      </c>
      <c r="AP154" s="5">
        <v>-0.196670513450866</v>
      </c>
      <c r="AQ154" s="5">
        <v>0.214376021308125</v>
      </c>
      <c r="AR154" s="5">
        <v>0.44895858165441199</v>
      </c>
      <c r="AS154" s="5">
        <v>-0.166640142889634</v>
      </c>
      <c r="AT154" s="5">
        <v>0.378593952431523</v>
      </c>
      <c r="AU154" s="5">
        <v>-0.15005121993044801</v>
      </c>
      <c r="AV154" s="5">
        <v>0.55136096489421105</v>
      </c>
      <c r="AW154" s="5">
        <v>-0.182911556673064</v>
      </c>
      <c r="AX154" s="5">
        <v>0.53969819639445704</v>
      </c>
      <c r="AY154" s="5">
        <v>-0.18083593788721999</v>
      </c>
      <c r="AZ154" s="5">
        <v>0.30460678191166801</v>
      </c>
      <c r="BA154" s="5">
        <v>-0.111355938791441</v>
      </c>
      <c r="BB154" s="5">
        <v>0.17805504818351101</v>
      </c>
      <c r="BC154" s="5">
        <v>0.21265802495536901</v>
      </c>
      <c r="BD154" s="5">
        <v>5.4353245755230496E-4</v>
      </c>
      <c r="BE154" s="5">
        <v>0.42192183320620702</v>
      </c>
      <c r="BF154" s="5">
        <v>0.34164414515927899</v>
      </c>
      <c r="BG154" s="5">
        <v>-1.16076251668685E-2</v>
      </c>
      <c r="BH154" s="5">
        <v>0.36688676270755199</v>
      </c>
      <c r="BI154" s="5">
        <v>-5.8887494986836597E-2</v>
      </c>
      <c r="BJ154" s="5">
        <v>-0.31740875500048199</v>
      </c>
      <c r="BK154" s="5">
        <v>0.112722206232204</v>
      </c>
      <c r="BL154" s="5">
        <v>-0.139845644466221</v>
      </c>
      <c r="BM154" s="5">
        <v>9.1030578697384401E-2</v>
      </c>
      <c r="BN154" s="5">
        <v>-0.14151122234566299</v>
      </c>
      <c r="BO154" s="5">
        <v>0.262398071893648</v>
      </c>
      <c r="BP154" s="5">
        <v>-0.25568465392828899</v>
      </c>
      <c r="BQ154" s="5">
        <v>0.41677689913063898</v>
      </c>
      <c r="BR154" s="5">
        <v>8.6230172598604597E-3</v>
      </c>
      <c r="BS154" s="5">
        <v>0.168397336257779</v>
      </c>
      <c r="BT154" s="5">
        <v>0.30785598467073599</v>
      </c>
      <c r="BU154" s="5">
        <v>3.8967369445137297E-2</v>
      </c>
      <c r="BV154" s="5">
        <v>0.28098838094974099</v>
      </c>
      <c r="BW154" s="5">
        <v>7.2366263714100806E-2</v>
      </c>
      <c r="BX154" s="5">
        <v>0.230415385936938</v>
      </c>
      <c r="BY154" s="5">
        <v>4.7936916473961901E-2</v>
      </c>
      <c r="BZ154" s="5">
        <v>0.375172698518074</v>
      </c>
      <c r="CA154" s="5">
        <v>-6.5066507944391394E-2</v>
      </c>
      <c r="CB154" s="5">
        <v>0.42129108048487801</v>
      </c>
      <c r="CC154" s="5">
        <v>-0.14843239192017399</v>
      </c>
      <c r="CD154" s="5">
        <v>0.25655280130646901</v>
      </c>
      <c r="CE154" s="5">
        <v>-2.3871616752177902E-2</v>
      </c>
      <c r="CF154" s="5">
        <v>0.503493921158636</v>
      </c>
      <c r="CG154" s="5">
        <v>-0.26170931634039601</v>
      </c>
      <c r="CH154" s="5">
        <v>0.38297162802733098</v>
      </c>
      <c r="CI154" s="5">
        <v>-0.228659707920045</v>
      </c>
      <c r="CJ154" s="5">
        <v>5.55220715790797E-2</v>
      </c>
      <c r="CK154" s="5">
        <v>0.34050146031490602</v>
      </c>
      <c r="CL154" s="5">
        <v>-8.7474165705655194E-2</v>
      </c>
      <c r="CM154" s="5">
        <v>0.13472653548875699</v>
      </c>
      <c r="CN154" s="5">
        <v>-0.100850539774947</v>
      </c>
      <c r="CO154" s="5">
        <v>0.178761433833136</v>
      </c>
      <c r="CP154" s="5">
        <v>0.25393366830144098</v>
      </c>
      <c r="CQ154" s="5">
        <v>-4.8014897666434297E-2</v>
      </c>
      <c r="CR154" s="5">
        <v>0.19917538692202699</v>
      </c>
      <c r="CS154" s="5">
        <v>-3.65866100343629E-3</v>
      </c>
      <c r="CT154" s="5">
        <v>-0.17083600584720701</v>
      </c>
      <c r="CU154" s="5">
        <v>0.17654911296013001</v>
      </c>
      <c r="CV154" s="5">
        <v>0.11731825373079501</v>
      </c>
      <c r="CW154" s="5">
        <v>5.3353250240022597E-2</v>
      </c>
      <c r="CX154" s="5">
        <v>0.27382740833466102</v>
      </c>
      <c r="CY154" s="5">
        <v>0.109161914093445</v>
      </c>
      <c r="CZ154" s="5">
        <v>0.411015359189145</v>
      </c>
      <c r="DA154" s="5">
        <v>-0.103066489481922</v>
      </c>
      <c r="DB154" s="5">
        <v>0.24962467111952399</v>
      </c>
      <c r="DC154" s="5">
        <v>0.24818134839699599</v>
      </c>
      <c r="DD154" s="5">
        <v>0.20097122707868301</v>
      </c>
      <c r="DE154" s="5">
        <v>2.7328089809553001E-2</v>
      </c>
      <c r="DF154" s="5">
        <v>0.41513827955586902</v>
      </c>
      <c r="DG154" s="5">
        <v>-0.108151370557846</v>
      </c>
      <c r="DH154" s="5">
        <v>0.18442584426123301</v>
      </c>
      <c r="DI154" s="5">
        <v>0.23460781157542901</v>
      </c>
      <c r="DJ154" s="5">
        <v>-0.286013169254139</v>
      </c>
      <c r="DK154" s="5">
        <v>0.27688623644942101</v>
      </c>
      <c r="DL154" s="5">
        <v>0.34365287462427202</v>
      </c>
      <c r="DM154" s="5">
        <v>-1.26197228315148E-2</v>
      </c>
      <c r="DN154" s="5">
        <v>-0.36604175143992002</v>
      </c>
      <c r="DO154" s="5">
        <v>0.30316811380647302</v>
      </c>
      <c r="DP154" s="5">
        <v>0.22931828377142999</v>
      </c>
      <c r="DQ154" s="5">
        <v>5.5771440326493997E-3</v>
      </c>
      <c r="DR154" s="5">
        <v>1.27167085382539E-2</v>
      </c>
      <c r="DS154" s="5">
        <v>0.223573672355901</v>
      </c>
      <c r="DT154" s="5">
        <v>0.33150990972015898</v>
      </c>
      <c r="DU154" s="5">
        <v>-0.171227106578139</v>
      </c>
      <c r="DV154" s="5">
        <v>5.6336152001208201E-2</v>
      </c>
      <c r="DW154" s="5">
        <v>0.15595106683156801</v>
      </c>
      <c r="DX154" s="5">
        <v>-0.23870328951853101</v>
      </c>
      <c r="DY154" s="5">
        <v>0.276691802660882</v>
      </c>
      <c r="DZ154" s="5">
        <v>0.15916719164964699</v>
      </c>
      <c r="EA154" s="5">
        <v>-0.18143510597527601</v>
      </c>
      <c r="EB154" s="5">
        <v>0.18713675618840001</v>
      </c>
      <c r="EC154" s="5">
        <v>5.1589617600393697E-2</v>
      </c>
      <c r="ED154" s="5">
        <v>0.18671763179026801</v>
      </c>
      <c r="EE154" s="5">
        <v>8.4128902451277798E-2</v>
      </c>
      <c r="EF154" s="5">
        <v>0.17561147596972199</v>
      </c>
      <c r="EG154" s="5">
        <v>7.5309323416686601E-3</v>
      </c>
      <c r="EH154" s="5">
        <v>0.26720033943954602</v>
      </c>
      <c r="EI154" s="5">
        <v>5.2143026637998198E-2</v>
      </c>
      <c r="EJ154" s="5">
        <v>0.21334143067062999</v>
      </c>
      <c r="EK154" s="5">
        <v>9.7879151228554007E-2</v>
      </c>
      <c r="EL154" s="5">
        <v>0.41884706849486403</v>
      </c>
      <c r="EM154" s="5">
        <v>-0.160385941903158</v>
      </c>
      <c r="EN154" s="5">
        <v>1.82470597292081E-2</v>
      </c>
      <c r="EO154" s="5">
        <v>0.36226817781927201</v>
      </c>
      <c r="EP154" s="5">
        <v>0.28410263825230903</v>
      </c>
      <c r="EQ154" s="5">
        <v>-6.7995691722796597E-2</v>
      </c>
      <c r="ER154" s="5">
        <v>0.43101371245179598</v>
      </c>
      <c r="ES154" s="5">
        <v>-0.115203549033447</v>
      </c>
      <c r="ET154" s="5">
        <v>0.58946517567060297</v>
      </c>
      <c r="EU154" s="5">
        <v>-0.31954038181088801</v>
      </c>
      <c r="EV154" s="5">
        <v>0.52552594868368496</v>
      </c>
      <c r="EW154" s="5">
        <v>-0.170329636526628</v>
      </c>
      <c r="EX154" s="5">
        <v>1</v>
      </c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</row>
    <row r="155" spans="1:389" x14ac:dyDescent="0.45">
      <c r="A155" s="4" t="str">
        <f ca="1">"HKG / beta2dist in "&amp;CELL("address",'damages-1990'!$K$78)</f>
        <v>HKG / beta2dist in '[BHM betas v3pd.xlsx]damages-1990'!$K$78</v>
      </c>
      <c r="B155" s="6">
        <v>4.6422953023853603E-2</v>
      </c>
      <c r="C155" s="5">
        <v>-0.18227898624484501</v>
      </c>
      <c r="D155" s="5">
        <v>-0.23458523057427699</v>
      </c>
      <c r="E155" s="5">
        <v>0.24923248966723699</v>
      </c>
      <c r="F155" s="5">
        <v>7.9041657658380005E-2</v>
      </c>
      <c r="G155" s="5">
        <v>-0.22303603556684101</v>
      </c>
      <c r="H155" s="5">
        <v>0.12992169334812401</v>
      </c>
      <c r="I155" s="5">
        <v>-0.102220519200016</v>
      </c>
      <c r="J155" s="5">
        <v>1.7505999062805099E-2</v>
      </c>
      <c r="K155" s="5">
        <v>-0.10969369962785799</v>
      </c>
      <c r="L155" s="5">
        <v>-0.18634156705284199</v>
      </c>
      <c r="M155" s="5">
        <v>0.15445016978707199</v>
      </c>
      <c r="N155" s="5">
        <v>-0.23593542464171299</v>
      </c>
      <c r="O155" s="5">
        <v>0.29618326362691699</v>
      </c>
      <c r="P155" s="5">
        <v>-0.141466080083131</v>
      </c>
      <c r="Q155" s="5">
        <v>0.190676996353594</v>
      </c>
      <c r="R155" s="5">
        <v>-0.119158445869745</v>
      </c>
      <c r="S155" s="5">
        <v>8.06780908853095E-2</v>
      </c>
      <c r="T155" s="5">
        <v>-6.3794671302026706E-2</v>
      </c>
      <c r="U155" s="5">
        <v>7.8030371433764498E-2</v>
      </c>
      <c r="V155" s="5">
        <v>-1.551748019456E-2</v>
      </c>
      <c r="W155" s="5">
        <v>-6.8651104169552196E-2</v>
      </c>
      <c r="X155" s="5">
        <v>-0.19953518548409599</v>
      </c>
      <c r="Y155" s="5">
        <v>0.190874998161948</v>
      </c>
      <c r="Z155" s="5">
        <v>-2.0603878110147401E-3</v>
      </c>
      <c r="AA155" s="5">
        <v>-3.3256717824899202E-3</v>
      </c>
      <c r="AB155" s="5">
        <v>-0.16346202754700601</v>
      </c>
      <c r="AC155" s="5">
        <v>0.25710434570539098</v>
      </c>
      <c r="AD155" s="5">
        <v>-2.08257257841938E-2</v>
      </c>
      <c r="AE155" s="5">
        <v>0.106289235178416</v>
      </c>
      <c r="AF155" s="5">
        <v>-0.47744888260809398</v>
      </c>
      <c r="AG155" s="5">
        <v>0.483034686158058</v>
      </c>
      <c r="AH155" s="5">
        <v>4.36614123915436E-2</v>
      </c>
      <c r="AI155" s="5">
        <v>-0.14441958945983799</v>
      </c>
      <c r="AJ155" s="5">
        <v>-3.7199171975863699E-2</v>
      </c>
      <c r="AK155" s="5">
        <v>-5.8930707520694202E-2</v>
      </c>
      <c r="AL155" s="5">
        <v>-0.20077828173794801</v>
      </c>
      <c r="AM155" s="5">
        <v>0.16099218684084701</v>
      </c>
      <c r="AN155" s="5">
        <v>-7.5286236972328099E-2</v>
      </c>
      <c r="AO155" s="5">
        <v>5.3858170185954103E-2</v>
      </c>
      <c r="AP155" s="5">
        <v>-1.7830655982881999E-2</v>
      </c>
      <c r="AQ155" s="5">
        <v>3.1222475639527101E-2</v>
      </c>
      <c r="AR155" s="5">
        <v>-0.229868033361217</v>
      </c>
      <c r="AS155" s="5">
        <v>0.23838437840003199</v>
      </c>
      <c r="AT155" s="5">
        <v>-0.14745863439339499</v>
      </c>
      <c r="AU155" s="5">
        <v>8.0918565510746401E-2</v>
      </c>
      <c r="AV155" s="5">
        <v>-0.29737139864684398</v>
      </c>
      <c r="AW155" s="5">
        <v>0.322733634603667</v>
      </c>
      <c r="AX155" s="5">
        <v>-0.30250999859736899</v>
      </c>
      <c r="AY155" s="5">
        <v>0.335651137443083</v>
      </c>
      <c r="AZ155" s="5">
        <v>-0.27448429689514298</v>
      </c>
      <c r="BA155" s="5">
        <v>0.30675906787350699</v>
      </c>
      <c r="BB155" s="5">
        <v>6.2724219536233694E-2</v>
      </c>
      <c r="BC155" s="5">
        <v>-8.4619870975460296E-2</v>
      </c>
      <c r="BD155" s="5">
        <v>2.7169547951999599E-2</v>
      </c>
      <c r="BE155" s="5">
        <v>-0.166346965999501</v>
      </c>
      <c r="BF155" s="5">
        <v>-0.20587243833581101</v>
      </c>
      <c r="BG155" s="5">
        <v>0.18620987054753599</v>
      </c>
      <c r="BH155" s="5">
        <v>-0.18920252434816501</v>
      </c>
      <c r="BI155" s="5">
        <v>0.26196836854148497</v>
      </c>
      <c r="BJ155" s="5">
        <v>5.6918664772763299E-2</v>
      </c>
      <c r="BK155" s="5">
        <v>-2.26631915391435E-2</v>
      </c>
      <c r="BL155" s="5">
        <v>-4.37090513446396E-2</v>
      </c>
      <c r="BM155" s="5">
        <v>8.0027895012798597E-2</v>
      </c>
      <c r="BN155" s="5">
        <v>0.16542567998583299</v>
      </c>
      <c r="BO155" s="5">
        <v>-0.26153030306522201</v>
      </c>
      <c r="BP155" s="5">
        <v>0.17243915685939801</v>
      </c>
      <c r="BQ155" s="5">
        <v>-0.30911465744731398</v>
      </c>
      <c r="BR155" s="5">
        <v>3.9655355343201401E-2</v>
      </c>
      <c r="BS155" s="5">
        <v>8.8816909530575097E-2</v>
      </c>
      <c r="BT155" s="5">
        <v>-9.9940361146248102E-2</v>
      </c>
      <c r="BU155" s="5">
        <v>0.15342266050352099</v>
      </c>
      <c r="BV155" s="5">
        <v>-0.101773088117944</v>
      </c>
      <c r="BW155" s="5">
        <v>0.13099053395902499</v>
      </c>
      <c r="BX155" s="5">
        <v>-9.2738814610387493E-2</v>
      </c>
      <c r="BY155" s="5">
        <v>0.16982611654977101</v>
      </c>
      <c r="BZ155" s="5">
        <v>-0.22293537082897899</v>
      </c>
      <c r="CA155" s="5">
        <v>0.25438718115887898</v>
      </c>
      <c r="CB155" s="5">
        <v>-0.29224614735450199</v>
      </c>
      <c r="CC155" s="5">
        <v>0.28028007917868503</v>
      </c>
      <c r="CD155" s="5">
        <v>-0.100407237663079</v>
      </c>
      <c r="CE155" s="5">
        <v>7.2232176578526194E-2</v>
      </c>
      <c r="CF155" s="5">
        <v>-0.40603678055877501</v>
      </c>
      <c r="CG155" s="5">
        <v>0.40910218461811898</v>
      </c>
      <c r="CH155" s="5">
        <v>-0.138472505144</v>
      </c>
      <c r="CI155" s="5">
        <v>0.15981271636033001</v>
      </c>
      <c r="CJ155" s="5">
        <v>0.220526905295159</v>
      </c>
      <c r="CK155" s="5">
        <v>-0.41658487672980798</v>
      </c>
      <c r="CL155" s="5">
        <v>-3.3653299350520201E-2</v>
      </c>
      <c r="CM155" s="5">
        <v>4.0502047946613502E-2</v>
      </c>
      <c r="CN155" s="5">
        <v>-4.5926849585466098E-3</v>
      </c>
      <c r="CO155" s="5">
        <v>6.9043609583110599E-3</v>
      </c>
      <c r="CP155" s="5">
        <v>-0.28432998754262701</v>
      </c>
      <c r="CQ155" s="5">
        <v>0.30689418064027701</v>
      </c>
      <c r="CR155" s="5">
        <v>-0.12894863568595999</v>
      </c>
      <c r="CS155" s="5">
        <v>0.17717247352715401</v>
      </c>
      <c r="CT155" s="5">
        <v>1.12204625197604E-2</v>
      </c>
      <c r="CU155" s="5">
        <v>2.94980504012692E-2</v>
      </c>
      <c r="CV155" s="5">
        <v>-6.9733154961557603E-2</v>
      </c>
      <c r="CW155" s="5">
        <v>0.166931619479565</v>
      </c>
      <c r="CX155" s="5">
        <v>-0.106003754093316</v>
      </c>
      <c r="CY155" s="5">
        <v>8.4412527618334898E-2</v>
      </c>
      <c r="CZ155" s="5">
        <v>-0.26441631567026602</v>
      </c>
      <c r="DA155" s="5">
        <v>0.27066611505196903</v>
      </c>
      <c r="DB155" s="5">
        <v>-2.7711676020721302E-3</v>
      </c>
      <c r="DC155" s="5">
        <v>-0.134238786744626</v>
      </c>
      <c r="DD155" s="5">
        <v>-0.17523264399758701</v>
      </c>
      <c r="DE155" s="5">
        <v>0.241582994129212</v>
      </c>
      <c r="DF155" s="5">
        <v>-0.17781462754119301</v>
      </c>
      <c r="DG155" s="5">
        <v>0.16392158659210601</v>
      </c>
      <c r="DH155" s="5">
        <v>-3.6103631971032502E-2</v>
      </c>
      <c r="DI155" s="5">
        <v>-0.101198915279921</v>
      </c>
      <c r="DJ155" s="5">
        <v>4.95972939413633E-2</v>
      </c>
      <c r="DK155" s="5">
        <v>-3.7600678053832701E-2</v>
      </c>
      <c r="DL155" s="5">
        <v>-0.20759139317713099</v>
      </c>
      <c r="DM155" s="5">
        <v>0.237607829066833</v>
      </c>
      <c r="DN155" s="5">
        <v>0.109595883197109</v>
      </c>
      <c r="DO155" s="5">
        <v>-9.6015896495101602E-2</v>
      </c>
      <c r="DP155" s="5">
        <v>9.8348855127063494E-3</v>
      </c>
      <c r="DQ155" s="5">
        <v>3.0094095867198999E-3</v>
      </c>
      <c r="DR155" s="5">
        <v>-5.6110945541762002E-4</v>
      </c>
      <c r="DS155" s="5">
        <v>-5.5967914367840203E-2</v>
      </c>
      <c r="DT155" s="5">
        <v>-0.33158341536622699</v>
      </c>
      <c r="DU155" s="5">
        <v>0.347871069449885</v>
      </c>
      <c r="DV155" s="5">
        <v>1.9667235422951401E-2</v>
      </c>
      <c r="DW155" s="5">
        <v>6.5794009920657398E-2</v>
      </c>
      <c r="DX155" s="5">
        <v>0.123832821416859</v>
      </c>
      <c r="DY155" s="5">
        <v>-0.10824117976320601</v>
      </c>
      <c r="DZ155" s="5">
        <v>-0.23420477061872699</v>
      </c>
      <c r="EA155" s="5">
        <v>0.313081657943859</v>
      </c>
      <c r="EB155" s="5">
        <v>-9.9732075048518207E-2</v>
      </c>
      <c r="EC155" s="5">
        <v>0.18642604674490701</v>
      </c>
      <c r="ED155" s="5">
        <v>-0.104372397487787</v>
      </c>
      <c r="EE155" s="5">
        <v>0.17554528132361599</v>
      </c>
      <c r="EF155" s="5">
        <v>-0.134393284741916</v>
      </c>
      <c r="EG155" s="5">
        <v>0.17671139458476301</v>
      </c>
      <c r="EH155" s="5">
        <v>-7.1167957974187596E-2</v>
      </c>
      <c r="EI155" s="5">
        <v>0.113505774728465</v>
      </c>
      <c r="EJ155" s="5">
        <v>-4.1954058354127202E-2</v>
      </c>
      <c r="EK155" s="5">
        <v>9.68720857501809E-2</v>
      </c>
      <c r="EL155" s="5">
        <v>-0.20587970532334901</v>
      </c>
      <c r="EM155" s="5">
        <v>0.28634114567729901</v>
      </c>
      <c r="EN155" s="5">
        <v>0.23308447850133199</v>
      </c>
      <c r="EO155" s="5">
        <v>-0.40186754781802497</v>
      </c>
      <c r="EP155" s="5">
        <v>-0.26508687861200902</v>
      </c>
      <c r="EQ155" s="5">
        <v>0.285626096563045</v>
      </c>
      <c r="ER155" s="5">
        <v>-0.22064980324285199</v>
      </c>
      <c r="ES155" s="5">
        <v>0.239426478252597</v>
      </c>
      <c r="ET155" s="5">
        <v>-0.365567984109743</v>
      </c>
      <c r="EU155" s="5">
        <v>0.42711293286462898</v>
      </c>
      <c r="EV155" s="5">
        <v>-0.32090590504000199</v>
      </c>
      <c r="EW155" s="5">
        <v>0.29927182631590799</v>
      </c>
      <c r="EX155" s="5">
        <v>-0.82867389338536901</v>
      </c>
      <c r="EY155" s="5">
        <v>1</v>
      </c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</row>
    <row r="156" spans="1:389" x14ac:dyDescent="0.45">
      <c r="A156" s="4" t="str">
        <f ca="1">"HND / beta1dist in "&amp;CELL("address",'damages-1990'!$J$79)</f>
        <v>HND / beta1dist in '[BHM betas v3pd.xlsx]damages-1990'!$J$79</v>
      </c>
      <c r="B156" s="6">
        <v>0.1730684462166</v>
      </c>
      <c r="C156" s="5">
        <v>0.214517727251476</v>
      </c>
      <c r="D156" s="5">
        <v>0.50932392840053997</v>
      </c>
      <c r="E156" s="5">
        <v>-0.200439613745935</v>
      </c>
      <c r="F156" s="5">
        <v>0.15380375119098799</v>
      </c>
      <c r="G156" s="5">
        <v>0.102329073131648</v>
      </c>
      <c r="H156" s="5">
        <v>-0.27659647804883902</v>
      </c>
      <c r="I156" s="5">
        <v>0.24535213176936599</v>
      </c>
      <c r="J156" s="5">
        <v>0.45451554299388602</v>
      </c>
      <c r="K156" s="5">
        <v>-8.7432776789774597E-2</v>
      </c>
      <c r="L156" s="5">
        <v>0.33001379053292201</v>
      </c>
      <c r="M156" s="5">
        <v>4.3961120967003497E-2</v>
      </c>
      <c r="N156" s="5">
        <v>1.92937619886396E-2</v>
      </c>
      <c r="O156" s="5">
        <v>-4.18262593322236E-2</v>
      </c>
      <c r="P156" s="5">
        <v>0.197321297420752</v>
      </c>
      <c r="Q156" s="5">
        <v>-2.7537581995322601E-2</v>
      </c>
      <c r="R156" s="5">
        <v>0.41482142123552801</v>
      </c>
      <c r="S156" s="5">
        <v>-4.2672144894764903E-2</v>
      </c>
      <c r="T156" s="5">
        <v>-4.0744639578588197E-2</v>
      </c>
      <c r="U156" s="5">
        <v>3.3840721457076402E-2</v>
      </c>
      <c r="V156" s="5">
        <v>0.18213780001590499</v>
      </c>
      <c r="W156" s="5">
        <v>0.206268378440642</v>
      </c>
      <c r="X156" s="5">
        <v>0.38067700540898503</v>
      </c>
      <c r="Y156" s="5">
        <v>-5.3635966036517997E-2</v>
      </c>
      <c r="Z156" s="5">
        <v>-8.7171042477350396E-4</v>
      </c>
      <c r="AA156" s="5">
        <v>8.1619786549211301E-2</v>
      </c>
      <c r="AB156" s="5">
        <v>0.44312082971704198</v>
      </c>
      <c r="AC156" s="5">
        <v>-0.23283560259189601</v>
      </c>
      <c r="AD156" s="5">
        <v>0.463464868777688</v>
      </c>
      <c r="AE156" s="5">
        <v>-0.238608330914762</v>
      </c>
      <c r="AF156" s="5">
        <v>0.406952927587164</v>
      </c>
      <c r="AG156" s="5">
        <v>-0.156142059888736</v>
      </c>
      <c r="AH156" s="5">
        <v>0.116228085187811</v>
      </c>
      <c r="AI156" s="5">
        <v>7.6829947201782003E-2</v>
      </c>
      <c r="AJ156" s="5">
        <v>0.41106115368982099</v>
      </c>
      <c r="AK156" s="5">
        <v>-3.2012121468599497E-2</v>
      </c>
      <c r="AL156" s="5">
        <v>0.45358353460479001</v>
      </c>
      <c r="AM156" s="5">
        <v>-0.30500615881272902</v>
      </c>
      <c r="AN156" s="5">
        <v>2.8872302583145201E-2</v>
      </c>
      <c r="AO156" s="5">
        <v>7.4120963192512199E-2</v>
      </c>
      <c r="AP156" s="5">
        <v>-4.8616805207143197E-2</v>
      </c>
      <c r="AQ156" s="5">
        <v>4.33944289106033E-2</v>
      </c>
      <c r="AR156" s="5">
        <v>0.86439245649269902</v>
      </c>
      <c r="AS156" s="5">
        <v>-0.70574210548703098</v>
      </c>
      <c r="AT156" s="5">
        <v>0.27517248409859002</v>
      </c>
      <c r="AU156" s="5">
        <v>-9.1086009997534703E-2</v>
      </c>
      <c r="AV156" s="5">
        <v>0.58404312391241198</v>
      </c>
      <c r="AW156" s="5">
        <v>-0.29517954048554401</v>
      </c>
      <c r="AX156" s="5">
        <v>0.67791909946417594</v>
      </c>
      <c r="AY156" s="5">
        <v>-0.44017888874648498</v>
      </c>
      <c r="AZ156" s="5">
        <v>0.36742671893254603</v>
      </c>
      <c r="BA156" s="5">
        <v>-0.20635104551147501</v>
      </c>
      <c r="BB156" s="5">
        <v>0.56081066878103303</v>
      </c>
      <c r="BC156" s="5">
        <v>-0.26438632571222997</v>
      </c>
      <c r="BD156" s="5">
        <v>0.107784961743092</v>
      </c>
      <c r="BE156" s="5">
        <v>0.22864422882089799</v>
      </c>
      <c r="BF156" s="5">
        <v>0.46325562554758598</v>
      </c>
      <c r="BG156" s="5">
        <v>-0.184962211799647</v>
      </c>
      <c r="BH156" s="5">
        <v>0.54336480587874203</v>
      </c>
      <c r="BI156" s="5">
        <v>-0.25918240032637002</v>
      </c>
      <c r="BJ156" s="5">
        <v>-0.19928471830226599</v>
      </c>
      <c r="BK156" s="5">
        <v>6.1614403687436203E-2</v>
      </c>
      <c r="BL156" s="5">
        <v>-5.0202070514939197E-2</v>
      </c>
      <c r="BM156" s="5">
        <v>8.9689130474328894E-3</v>
      </c>
      <c r="BN156" s="5">
        <v>-0.150893807322179</v>
      </c>
      <c r="BO156" s="5">
        <v>0.25708238007290202</v>
      </c>
      <c r="BP156" s="5">
        <v>-0.166794748435313</v>
      </c>
      <c r="BQ156" s="5">
        <v>0.29229495779275799</v>
      </c>
      <c r="BR156" s="5">
        <v>0.459479460908509</v>
      </c>
      <c r="BS156" s="5">
        <v>-0.26542842565711799</v>
      </c>
      <c r="BT156" s="5">
        <v>0.615830323292889</v>
      </c>
      <c r="BU156" s="5">
        <v>-0.34832570692880099</v>
      </c>
      <c r="BV156" s="5">
        <v>0.52687669018350203</v>
      </c>
      <c r="BW156" s="5">
        <v>-0.24522170883861799</v>
      </c>
      <c r="BX156" s="5">
        <v>0.44057939660458401</v>
      </c>
      <c r="BY156" s="5">
        <v>-0.224722340837479</v>
      </c>
      <c r="BZ156" s="5">
        <v>0.55695596685377702</v>
      </c>
      <c r="CA156" s="5">
        <v>-0.30799405370843003</v>
      </c>
      <c r="CB156" s="5">
        <v>0.416160337132509</v>
      </c>
      <c r="CC156" s="5">
        <v>-0.213389436535872</v>
      </c>
      <c r="CD156" s="5">
        <v>0.21837080774762399</v>
      </c>
      <c r="CE156" s="5">
        <v>2.6791084919493498E-2</v>
      </c>
      <c r="CF156" s="5">
        <v>0.65789488382831496</v>
      </c>
      <c r="CG156" s="5">
        <v>-0.45338859935800002</v>
      </c>
      <c r="CH156" s="5">
        <v>0.51104223778229496</v>
      </c>
      <c r="CI156" s="5">
        <v>-0.42591341099708202</v>
      </c>
      <c r="CJ156" s="5">
        <v>0.16298615381473699</v>
      </c>
      <c r="CK156" s="5">
        <v>0.103063209313685</v>
      </c>
      <c r="CL156" s="5">
        <v>-9.0019316739575403E-3</v>
      </c>
      <c r="CM156" s="5">
        <v>4.1332115165038E-2</v>
      </c>
      <c r="CN156" s="5">
        <v>-3.8649428137899101E-3</v>
      </c>
      <c r="CO156" s="5">
        <v>5.4572017369781602E-2</v>
      </c>
      <c r="CP156" s="5">
        <v>0.39354025852852698</v>
      </c>
      <c r="CQ156" s="5">
        <v>-0.158227640465571</v>
      </c>
      <c r="CR156" s="5">
        <v>0.25310371890868999</v>
      </c>
      <c r="CS156" s="5">
        <v>-8.1138778820255997E-2</v>
      </c>
      <c r="CT156" s="5">
        <v>-7.8854604122682002E-4</v>
      </c>
      <c r="CU156" s="5">
        <v>-5.5373301796224402E-3</v>
      </c>
      <c r="CV156" s="5">
        <v>0.40677888397697198</v>
      </c>
      <c r="CW156" s="5">
        <v>-0.21782640436029399</v>
      </c>
      <c r="CX156" s="5">
        <v>0.495058131281854</v>
      </c>
      <c r="CY156" s="5">
        <v>-0.18571392954336399</v>
      </c>
      <c r="CZ156" s="5">
        <v>0.50598844507501395</v>
      </c>
      <c r="DA156" s="5">
        <v>-0.26096081465773502</v>
      </c>
      <c r="DB156" s="5">
        <v>0.25139550401870903</v>
      </c>
      <c r="DC156" s="5">
        <v>0.18753610758266301</v>
      </c>
      <c r="DD156" s="5">
        <v>0.34472898382981898</v>
      </c>
      <c r="DE156" s="5">
        <v>-7.5394909995165502E-2</v>
      </c>
      <c r="DF156" s="5">
        <v>0.45001121510268</v>
      </c>
      <c r="DG156" s="5">
        <v>-0.15407467942688399</v>
      </c>
      <c r="DH156" s="5">
        <v>0.302145603018177</v>
      </c>
      <c r="DI156" s="5">
        <v>-6.2675184630000104E-3</v>
      </c>
      <c r="DJ156" s="5">
        <v>-5.4093691796397302E-2</v>
      </c>
      <c r="DK156" s="5">
        <v>2.31164931890687E-2</v>
      </c>
      <c r="DL156" s="5">
        <v>0.45418431505757301</v>
      </c>
      <c r="DM156" s="5">
        <v>-0.13978178600375901</v>
      </c>
      <c r="DN156" s="5">
        <v>-0.16219274836370501</v>
      </c>
      <c r="DO156" s="5">
        <v>9.8829038283861997E-2</v>
      </c>
      <c r="DP156" s="5">
        <v>0.341071369912478</v>
      </c>
      <c r="DQ156" s="5">
        <v>-0.107843165952654</v>
      </c>
      <c r="DR156" s="5">
        <v>6.9383459584632198E-2</v>
      </c>
      <c r="DS156" s="5">
        <v>0.106256349955118</v>
      </c>
      <c r="DT156" s="5">
        <v>0.38914303511033799</v>
      </c>
      <c r="DU156" s="5">
        <v>-0.19471329959362799</v>
      </c>
      <c r="DV156" s="5">
        <v>0.23613968495866</v>
      </c>
      <c r="DW156" s="5">
        <v>-2.7924637684368599E-2</v>
      </c>
      <c r="DX156" s="5">
        <v>-0.174264953303853</v>
      </c>
      <c r="DY156" s="5">
        <v>0.220964258439975</v>
      </c>
      <c r="DZ156" s="5">
        <v>5.08499478824243E-2</v>
      </c>
      <c r="EA156" s="5">
        <v>-5.5475631772332099E-2</v>
      </c>
      <c r="EB156" s="5">
        <v>0.56091340821991198</v>
      </c>
      <c r="EC156" s="5">
        <v>-0.30865655814119303</v>
      </c>
      <c r="ED156" s="5">
        <v>0.47827964011871998</v>
      </c>
      <c r="EE156" s="5">
        <v>-0.21634187476234501</v>
      </c>
      <c r="EF156" s="5">
        <v>0.22874413094086099</v>
      </c>
      <c r="EG156" s="5">
        <v>-6.1411287389509898E-2</v>
      </c>
      <c r="EH156" s="5">
        <v>0.56266447372406003</v>
      </c>
      <c r="EI156" s="5">
        <v>-0.261502383501452</v>
      </c>
      <c r="EJ156" s="5">
        <v>0.48925754585587999</v>
      </c>
      <c r="EK156" s="5">
        <v>-0.18412175505033701</v>
      </c>
      <c r="EL156" s="5">
        <v>0.56421780508081998</v>
      </c>
      <c r="EM156" s="5">
        <v>-0.331767823547578</v>
      </c>
      <c r="EN156" s="5">
        <v>0.23045855060001699</v>
      </c>
      <c r="EO156" s="5">
        <v>4.8163779067649903E-2</v>
      </c>
      <c r="EP156" s="5">
        <v>0.37302259533201199</v>
      </c>
      <c r="EQ156" s="5">
        <v>-0.180721847131075</v>
      </c>
      <c r="ER156" s="5">
        <v>0.862785916602967</v>
      </c>
      <c r="ES156" s="5">
        <v>-0.66429201020928796</v>
      </c>
      <c r="ET156" s="5">
        <v>0.54572209655702997</v>
      </c>
      <c r="EU156" s="5">
        <v>-0.33957629084455299</v>
      </c>
      <c r="EV156" s="5">
        <v>0.65681590746708296</v>
      </c>
      <c r="EW156" s="5">
        <v>-0.436576204858242</v>
      </c>
      <c r="EX156" s="5">
        <v>0.40789115856826402</v>
      </c>
      <c r="EY156" s="5">
        <v>-0.22267975772974299</v>
      </c>
      <c r="EZ156" s="5">
        <v>1</v>
      </c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</row>
    <row r="157" spans="1:389" x14ac:dyDescent="0.45">
      <c r="A157" s="4" t="str">
        <f ca="1">"HND / beta2dist in "&amp;CELL("address",'damages-1990'!$K$79)</f>
        <v>HND / beta2dist in '[BHM betas v3pd.xlsx]damages-1990'!$K$79</v>
      </c>
      <c r="B157" s="6">
        <v>-2.5457014015014601E-2</v>
      </c>
      <c r="C157" s="5">
        <v>4.0768004090639499E-2</v>
      </c>
      <c r="D157" s="5">
        <v>-0.23476756123887499</v>
      </c>
      <c r="E157" s="5">
        <v>0.42413115741891799</v>
      </c>
      <c r="F157" s="5">
        <v>-5.3141079906653899E-2</v>
      </c>
      <c r="G157" s="5">
        <v>5.9485281201326803E-2</v>
      </c>
      <c r="H157" s="5">
        <v>0.166684476414281</v>
      </c>
      <c r="I157" s="5">
        <v>-0.204901943123346</v>
      </c>
      <c r="J157" s="5">
        <v>-0.159019168055022</v>
      </c>
      <c r="K157" s="5">
        <v>0.23115389750704499</v>
      </c>
      <c r="L157" s="5">
        <v>-3.3071123705359903E-2</v>
      </c>
      <c r="M157" s="5">
        <v>1.9141787009903499E-2</v>
      </c>
      <c r="N157" s="5">
        <v>-5.7940687253783103E-2</v>
      </c>
      <c r="O157" s="5">
        <v>8.1610483567416306E-2</v>
      </c>
      <c r="P157" s="5">
        <v>-0.139719593140257</v>
      </c>
      <c r="Q157" s="5">
        <v>0.23652378541011401</v>
      </c>
      <c r="R157" s="5">
        <v>-0.111540900165799</v>
      </c>
      <c r="S157" s="5">
        <v>0.20823683382046099</v>
      </c>
      <c r="T157" s="5">
        <v>-7.03791069508094E-2</v>
      </c>
      <c r="U157" s="5">
        <v>8.0528994075749302E-2</v>
      </c>
      <c r="V157" s="5">
        <v>2.1018580539909001E-2</v>
      </c>
      <c r="W157" s="5">
        <v>-7.3641183289089404E-2</v>
      </c>
      <c r="X157" s="5">
        <v>-0.14254282786911401</v>
      </c>
      <c r="Y157" s="5">
        <v>0.278097134566829</v>
      </c>
      <c r="Z157" s="5">
        <v>-3.05887371708321E-2</v>
      </c>
      <c r="AA157" s="5">
        <v>5.89345370713103E-2</v>
      </c>
      <c r="AB157" s="5">
        <v>-0.226340055131135</v>
      </c>
      <c r="AC157" s="5">
        <v>0.42209936236052098</v>
      </c>
      <c r="AD157" s="5">
        <v>-0.289356894002117</v>
      </c>
      <c r="AE157" s="5">
        <v>0.479762214027245</v>
      </c>
      <c r="AF157" s="5">
        <v>-0.13581501657144299</v>
      </c>
      <c r="AG157" s="5">
        <v>0.26636126637054602</v>
      </c>
      <c r="AH157" s="5">
        <v>-5.0451533398981598E-2</v>
      </c>
      <c r="AI157" s="5">
        <v>6.9454793106135906E-2</v>
      </c>
      <c r="AJ157" s="5">
        <v>-0.17308797907033599</v>
      </c>
      <c r="AK157" s="5">
        <v>0.19931745435089099</v>
      </c>
      <c r="AL157" s="5">
        <v>-0.13361103303821101</v>
      </c>
      <c r="AM157" s="5">
        <v>0.21499585772430499</v>
      </c>
      <c r="AN157" s="5">
        <v>-5.6932582113792103E-2</v>
      </c>
      <c r="AO157" s="5">
        <v>7.6348331340612197E-2</v>
      </c>
      <c r="AP157" s="5">
        <v>-0.139112836990963</v>
      </c>
      <c r="AQ157" s="5">
        <v>0.18076942236898999</v>
      </c>
      <c r="AR157" s="5">
        <v>-0.60878888520031404</v>
      </c>
      <c r="AS157" s="5">
        <v>0.82965039856542799</v>
      </c>
      <c r="AT157" s="5">
        <v>4.7356354642959501E-2</v>
      </c>
      <c r="AU157" s="5">
        <v>-2.7944501659500701E-2</v>
      </c>
      <c r="AV157" s="5">
        <v>-0.22450052800010001</v>
      </c>
      <c r="AW157" s="5">
        <v>0.42378416266389002</v>
      </c>
      <c r="AX157" s="5">
        <v>-0.34694015573634102</v>
      </c>
      <c r="AY157" s="5">
        <v>0.599718310665323</v>
      </c>
      <c r="AZ157" s="5">
        <v>-0.26540851208593502</v>
      </c>
      <c r="BA157" s="5">
        <v>0.371286752695833</v>
      </c>
      <c r="BB157" s="5">
        <v>-0.257101923840796</v>
      </c>
      <c r="BC157" s="5">
        <v>0.439023424729446</v>
      </c>
      <c r="BD157" s="5">
        <v>-6.9155643451536603E-2</v>
      </c>
      <c r="BE157" s="5">
        <v>9.1990033917849295E-2</v>
      </c>
      <c r="BF157" s="5">
        <v>-0.21065588282507799</v>
      </c>
      <c r="BG157" s="5">
        <v>0.31862029707672002</v>
      </c>
      <c r="BH157" s="5">
        <v>-0.26307413192995599</v>
      </c>
      <c r="BI157" s="5">
        <v>0.46647278175074602</v>
      </c>
      <c r="BJ157" s="5">
        <v>-7.1328340275108898E-2</v>
      </c>
      <c r="BK157" s="5">
        <v>2.48250426607452E-3</v>
      </c>
      <c r="BL157" s="5">
        <v>-8.7765245787946394E-2</v>
      </c>
      <c r="BM157" s="5">
        <v>9.77770825389081E-2</v>
      </c>
      <c r="BN157" s="5">
        <v>9.8818471717064302E-2</v>
      </c>
      <c r="BO157" s="5">
        <v>-0.15835479327996899</v>
      </c>
      <c r="BP157" s="5">
        <v>6.9159917232272203E-2</v>
      </c>
      <c r="BQ157" s="5">
        <v>-0.16074192489957301</v>
      </c>
      <c r="BR157" s="5">
        <v>-0.34373740718602003</v>
      </c>
      <c r="BS157" s="5">
        <v>0.55255396772130805</v>
      </c>
      <c r="BT157" s="5">
        <v>-0.313649882797021</v>
      </c>
      <c r="BU157" s="5">
        <v>0.55623304353286496</v>
      </c>
      <c r="BV157" s="5">
        <v>-0.26953932177420897</v>
      </c>
      <c r="BW157" s="5">
        <v>0.48651451626917902</v>
      </c>
      <c r="BX157" s="5">
        <v>-0.20349599768863799</v>
      </c>
      <c r="BY157" s="5">
        <v>0.44931393867267699</v>
      </c>
      <c r="BZ157" s="5">
        <v>-0.313239788281022</v>
      </c>
      <c r="CA157" s="5">
        <v>0.51540723361031204</v>
      </c>
      <c r="CB157" s="5">
        <v>-0.21204106009569901</v>
      </c>
      <c r="CC157" s="5">
        <v>0.33706603368170701</v>
      </c>
      <c r="CD157" s="5">
        <v>-4.0280613276292399E-2</v>
      </c>
      <c r="CE157" s="5">
        <v>4.6762624610147803E-2</v>
      </c>
      <c r="CF157" s="5">
        <v>-0.51463061946800004</v>
      </c>
      <c r="CG157" s="5">
        <v>0.63156088388301201</v>
      </c>
      <c r="CH157" s="5">
        <v>-0.20630745387174401</v>
      </c>
      <c r="CI157" s="5">
        <v>0.34302925940094697</v>
      </c>
      <c r="CJ157" s="5">
        <v>1.1176450777485501E-2</v>
      </c>
      <c r="CK157" s="5">
        <v>-1.54751003950265E-2</v>
      </c>
      <c r="CL157" s="5">
        <v>-5.4082225141361802E-2</v>
      </c>
      <c r="CM157" s="5">
        <v>7.0183519653561802E-2</v>
      </c>
      <c r="CN157" s="5">
        <v>-5.3054519768748899E-2</v>
      </c>
      <c r="CO157" s="5">
        <v>7.7550425468831202E-2</v>
      </c>
      <c r="CP157" s="5">
        <v>-0.32338353606161102</v>
      </c>
      <c r="CQ157" s="5">
        <v>0.40486939840584601</v>
      </c>
      <c r="CR157" s="5">
        <v>-0.17583265596492501</v>
      </c>
      <c r="CS157" s="5">
        <v>0.29178198179944098</v>
      </c>
      <c r="CT157" s="5">
        <v>-0.11168345352343199</v>
      </c>
      <c r="CU157" s="5">
        <v>0.156202936480247</v>
      </c>
      <c r="CV157" s="5">
        <v>-0.27522726057012498</v>
      </c>
      <c r="CW157" s="5">
        <v>0.39563545516261001</v>
      </c>
      <c r="CX157" s="5">
        <v>-0.25776781438945201</v>
      </c>
      <c r="CY157" s="5">
        <v>0.393136584199892</v>
      </c>
      <c r="CZ157" s="5">
        <v>-0.27987796291661099</v>
      </c>
      <c r="DA157" s="5">
        <v>0.44047626045006399</v>
      </c>
      <c r="DB157" s="5">
        <v>4.5814775090053099E-2</v>
      </c>
      <c r="DC157" s="5">
        <v>-5.0282285206538102E-2</v>
      </c>
      <c r="DD157" s="5">
        <v>-0.200665581540552</v>
      </c>
      <c r="DE157" s="5">
        <v>0.31238144441191001</v>
      </c>
      <c r="DF157" s="5">
        <v>-0.20258542990521999</v>
      </c>
      <c r="DG157" s="5">
        <v>0.28085565926885397</v>
      </c>
      <c r="DH157" s="5">
        <v>-0.17003043563232301</v>
      </c>
      <c r="DI157" s="5">
        <v>0.23934046813196</v>
      </c>
      <c r="DJ157" s="5">
        <v>-0.17253708393443301</v>
      </c>
      <c r="DK157" s="5">
        <v>0.20883852241210901</v>
      </c>
      <c r="DL157" s="5">
        <v>-0.234143273940803</v>
      </c>
      <c r="DM157" s="5">
        <v>0.38757820510769497</v>
      </c>
      <c r="DN157" s="5">
        <v>-0.101220652686144</v>
      </c>
      <c r="DO157" s="5">
        <v>0.106592918274583</v>
      </c>
      <c r="DP157" s="5">
        <v>2.8993203000749399E-2</v>
      </c>
      <c r="DQ157" s="5">
        <v>1.0752229301451199E-2</v>
      </c>
      <c r="DR157" s="5">
        <v>-3.9083406148161803E-2</v>
      </c>
      <c r="DS157" s="5">
        <v>6.7887390863736699E-2</v>
      </c>
      <c r="DT157" s="5">
        <v>-0.33341905496266999</v>
      </c>
      <c r="DU157" s="5">
        <v>0.34589708275951198</v>
      </c>
      <c r="DV157" s="5">
        <v>-5.91345200798752E-2</v>
      </c>
      <c r="DW157" s="5">
        <v>0.23136615906426999</v>
      </c>
      <c r="DX157" s="5">
        <v>8.3639816650981594E-2</v>
      </c>
      <c r="DY157" s="5">
        <v>-8.4154246125801704E-2</v>
      </c>
      <c r="DZ157" s="5">
        <v>-9.8117721010444206E-2</v>
      </c>
      <c r="EA157" s="5">
        <v>0.14771047767995099</v>
      </c>
      <c r="EB157" s="5">
        <v>-0.38770778290554497</v>
      </c>
      <c r="EC157" s="5">
        <v>0.557419342467673</v>
      </c>
      <c r="ED157" s="5">
        <v>-0.28282814602100298</v>
      </c>
      <c r="EE157" s="5">
        <v>0.47010560203229701</v>
      </c>
      <c r="EF157" s="5">
        <v>-0.18155173463270499</v>
      </c>
      <c r="EG157" s="5">
        <v>0.27828145400499998</v>
      </c>
      <c r="EH157" s="5">
        <v>-0.30052184804600901</v>
      </c>
      <c r="EI157" s="5">
        <v>0.45858064334312798</v>
      </c>
      <c r="EJ157" s="5">
        <v>-0.242878567768811</v>
      </c>
      <c r="EK157" s="5">
        <v>0.40042678199660497</v>
      </c>
      <c r="EL157" s="5">
        <v>-0.26992860095926202</v>
      </c>
      <c r="EM157" s="5">
        <v>0.47198472666111602</v>
      </c>
      <c r="EN157" s="5">
        <v>-1.84712981439797E-2</v>
      </c>
      <c r="EO157" s="5">
        <v>9.0367991761180801E-3</v>
      </c>
      <c r="EP157" s="5">
        <v>-0.25367120085164602</v>
      </c>
      <c r="EQ157" s="5">
        <v>0.339487839132389</v>
      </c>
      <c r="ER157" s="5">
        <v>-0.60892046741430605</v>
      </c>
      <c r="ES157" s="5">
        <v>0.84032192420126295</v>
      </c>
      <c r="ET157" s="5">
        <v>-0.24861934781355899</v>
      </c>
      <c r="EU157" s="5">
        <v>0.43500799943460999</v>
      </c>
      <c r="EV157" s="5">
        <v>-0.44035995471887701</v>
      </c>
      <c r="EW157" s="5">
        <v>0.63110433231518204</v>
      </c>
      <c r="EX157" s="5">
        <v>-6.0393985267977603E-2</v>
      </c>
      <c r="EY157" s="5">
        <v>0.216870423610067</v>
      </c>
      <c r="EZ157" s="5">
        <v>-0.77837672274809599</v>
      </c>
      <c r="FA157" s="5">
        <v>1</v>
      </c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</row>
    <row r="158" spans="1:389" x14ac:dyDescent="0.45">
      <c r="A158" s="4" t="str">
        <f ca="1">"HRV / beta1dist in "&amp;CELL("address",'damages-1990'!$J$80)</f>
        <v>HRV / beta1dist in '[BHM betas v3pd.xlsx]damages-1990'!$J$80</v>
      </c>
      <c r="B158" s="6">
        <v>0.50679744288233897</v>
      </c>
      <c r="C158" s="5">
        <v>-0.147905920428612</v>
      </c>
      <c r="D158" s="5">
        <v>0.22636247796543399</v>
      </c>
      <c r="E158" s="5">
        <v>-0.148443558315243</v>
      </c>
      <c r="F158" s="5">
        <v>0.84536694742447405</v>
      </c>
      <c r="G158" s="5">
        <v>-0.63677159351093204</v>
      </c>
      <c r="H158" s="5">
        <v>0.41989379234774199</v>
      </c>
      <c r="I158" s="5">
        <v>-0.21638538662884399</v>
      </c>
      <c r="J158" s="5">
        <v>0.11997848957933201</v>
      </c>
      <c r="K158" s="5">
        <v>-8.6488071355898005E-2</v>
      </c>
      <c r="L158" s="5">
        <v>0.40859230509799299</v>
      </c>
      <c r="M158" s="5">
        <v>-0.13128778502567801</v>
      </c>
      <c r="N158" s="5">
        <v>0.54207758029837205</v>
      </c>
      <c r="O158" s="5">
        <v>-0.26855181962817998</v>
      </c>
      <c r="P158" s="5">
        <v>0.14324818892354199</v>
      </c>
      <c r="Q158" s="5">
        <v>-0.107511810035085</v>
      </c>
      <c r="R158" s="5">
        <v>0.18619961883300101</v>
      </c>
      <c r="S158" s="5">
        <v>-8.1799923634083102E-2</v>
      </c>
      <c r="T158" s="5">
        <v>0.645974128770333</v>
      </c>
      <c r="U158" s="5">
        <v>-0.47081064040474102</v>
      </c>
      <c r="V158" s="5">
        <v>0.53780150211649003</v>
      </c>
      <c r="W158" s="5">
        <v>-0.20666176614996201</v>
      </c>
      <c r="X158" s="5">
        <v>0.26471976815418102</v>
      </c>
      <c r="Y158" s="5">
        <v>-0.14793575160886399</v>
      </c>
      <c r="Z158" s="5">
        <v>0.71070250885342401</v>
      </c>
      <c r="AA158" s="5">
        <v>-0.48159787590972702</v>
      </c>
      <c r="AB158" s="5">
        <v>0.12646131268017299</v>
      </c>
      <c r="AC158" s="5">
        <v>-7.8122865231768299E-2</v>
      </c>
      <c r="AD158" s="5">
        <v>0.13716765759517599</v>
      </c>
      <c r="AE158" s="5">
        <v>-6.6702722475195694E-2</v>
      </c>
      <c r="AF158" s="5">
        <v>2.98660947404287E-2</v>
      </c>
      <c r="AG158" s="5">
        <v>1.0993263005299901E-2</v>
      </c>
      <c r="AH158" s="5">
        <v>0.82870413935800202</v>
      </c>
      <c r="AI158" s="5">
        <v>-0.61469263292868404</v>
      </c>
      <c r="AJ158" s="5">
        <v>8.4081213486115997E-2</v>
      </c>
      <c r="AK158" s="5">
        <v>-4.5888988781777697E-2</v>
      </c>
      <c r="AL158" s="5">
        <v>7.3949078298816806E-2</v>
      </c>
      <c r="AM158" s="5">
        <v>-4.0809624147189402E-2</v>
      </c>
      <c r="AN158" s="5">
        <v>0.84181229470731</v>
      </c>
      <c r="AO158" s="5">
        <v>-0.63917797259529696</v>
      </c>
      <c r="AP158" s="5">
        <v>0.47866212250010198</v>
      </c>
      <c r="AQ158" s="5">
        <v>-0.26807189736643999</v>
      </c>
      <c r="AR158" s="5">
        <v>0.111059997847893</v>
      </c>
      <c r="AS158" s="5">
        <v>-7.0539242047497105E-2</v>
      </c>
      <c r="AT158" s="5">
        <v>2.2065934539784799E-2</v>
      </c>
      <c r="AU158" s="5">
        <v>3.6602661814897998E-2</v>
      </c>
      <c r="AV158" s="5">
        <v>0.14157761110949801</v>
      </c>
      <c r="AW158" s="5">
        <v>-6.0043951233518002E-2</v>
      </c>
      <c r="AX158" s="5">
        <v>0.105748220846799</v>
      </c>
      <c r="AY158" s="5">
        <v>-0.117924164994915</v>
      </c>
      <c r="AZ158" s="5">
        <v>0.12916489585746799</v>
      </c>
      <c r="BA158" s="5">
        <v>-8.5740019573672693E-2</v>
      </c>
      <c r="BB158" s="5">
        <v>0.134068096113063</v>
      </c>
      <c r="BC158" s="5">
        <v>-9.4346791941572403E-2</v>
      </c>
      <c r="BD158" s="5">
        <v>0.63286403820530501</v>
      </c>
      <c r="BE158" s="5">
        <v>-0.25751754104378699</v>
      </c>
      <c r="BF158" s="5">
        <v>0.17925752454341901</v>
      </c>
      <c r="BG158" s="5">
        <v>-0.120065430180833</v>
      </c>
      <c r="BH158" s="5">
        <v>0.17715933181834501</v>
      </c>
      <c r="BI158" s="5">
        <v>-0.10701443511172599</v>
      </c>
      <c r="BJ158" s="5">
        <v>0.35550452348587702</v>
      </c>
      <c r="BK158" s="5">
        <v>-0.120735588287689</v>
      </c>
      <c r="BL158" s="5">
        <v>0.58905427232389396</v>
      </c>
      <c r="BM158" s="5">
        <v>-0.41295596849278299</v>
      </c>
      <c r="BN158" s="5">
        <v>0.48232755838693903</v>
      </c>
      <c r="BO158" s="5">
        <v>-9.7925209131133797E-2</v>
      </c>
      <c r="BP158" s="5">
        <v>0.54654502936525196</v>
      </c>
      <c r="BQ158" s="5">
        <v>-0.201135963628676</v>
      </c>
      <c r="BR158" s="5">
        <v>0.18298176651176201</v>
      </c>
      <c r="BS158" s="5">
        <v>-0.11267224334343801</v>
      </c>
      <c r="BT158" s="5">
        <v>0.16594708100085501</v>
      </c>
      <c r="BU158" s="5">
        <v>-9.0485182037220294E-2</v>
      </c>
      <c r="BV158" s="5">
        <v>0.197513387650326</v>
      </c>
      <c r="BW158" s="5">
        <v>-0.152141914616228</v>
      </c>
      <c r="BX158" s="5">
        <v>0.144312453247499</v>
      </c>
      <c r="BY158" s="5">
        <v>-0.102117656804288</v>
      </c>
      <c r="BZ158" s="5">
        <v>0.129708857761096</v>
      </c>
      <c r="CA158" s="5">
        <v>-0.12338799938671501</v>
      </c>
      <c r="CB158" s="5">
        <v>0.101975765551689</v>
      </c>
      <c r="CC158" s="5">
        <v>-6.2032857895589003E-2</v>
      </c>
      <c r="CD158" s="5">
        <v>0.15751832265215801</v>
      </c>
      <c r="CE158" s="5">
        <v>-7.0309346595538405E-2</v>
      </c>
      <c r="CF158" s="5">
        <v>0.11517027554477</v>
      </c>
      <c r="CG158" s="5">
        <v>-8.2593859526475702E-2</v>
      </c>
      <c r="CH158" s="5">
        <v>7.2419071802372503E-2</v>
      </c>
      <c r="CI158" s="5">
        <v>-5.2489810690279699E-2</v>
      </c>
      <c r="CJ158" s="5">
        <v>0.172638059038038</v>
      </c>
      <c r="CK158" s="5">
        <v>-1.8863527008664099E-2</v>
      </c>
      <c r="CL158" s="5">
        <v>0.71183850861511999</v>
      </c>
      <c r="CM158" s="5">
        <v>-0.52088802299182702</v>
      </c>
      <c r="CN158" s="5">
        <v>0.71987701082997901</v>
      </c>
      <c r="CO158" s="5">
        <v>-0.51163467242640404</v>
      </c>
      <c r="CP158" s="5">
        <v>0.13094339073545</v>
      </c>
      <c r="CQ158" s="5">
        <v>-8.0262180546705197E-2</v>
      </c>
      <c r="CR158" s="5">
        <v>0.16661278162017401</v>
      </c>
      <c r="CS158" s="5">
        <v>-9.2235730033421698E-2</v>
      </c>
      <c r="CT158" s="5">
        <v>0.56130133182366204</v>
      </c>
      <c r="CU158" s="5">
        <v>-0.37004721224093301</v>
      </c>
      <c r="CV158" s="5">
        <v>0.14606906538547301</v>
      </c>
      <c r="CW158" s="5">
        <v>-9.07496978575901E-2</v>
      </c>
      <c r="CX158" s="5">
        <v>0.107776329074722</v>
      </c>
      <c r="CY158" s="5">
        <v>-1.40549504734783E-2</v>
      </c>
      <c r="CZ158" s="5">
        <v>0.178193310113336</v>
      </c>
      <c r="DA158" s="5">
        <v>-0.13931968743992201</v>
      </c>
      <c r="DB158" s="5">
        <v>9.7814268009719499E-2</v>
      </c>
      <c r="DC158" s="5">
        <v>8.0944466792021892E-3</v>
      </c>
      <c r="DD158" s="5">
        <v>0.136430246084149</v>
      </c>
      <c r="DE158" s="5">
        <v>-5.6555456013941303E-2</v>
      </c>
      <c r="DF158" s="5">
        <v>0.142692836703251</v>
      </c>
      <c r="DG158" s="5">
        <v>-5.0040329054817499E-2</v>
      </c>
      <c r="DH158" s="5">
        <v>0.58470229126032502</v>
      </c>
      <c r="DI158" s="5">
        <v>-0.31248921892736298</v>
      </c>
      <c r="DJ158" s="5">
        <v>0.39413123402316302</v>
      </c>
      <c r="DK158" s="5">
        <v>-0.20388847619832301</v>
      </c>
      <c r="DL158" s="5">
        <v>0.269008046502627</v>
      </c>
      <c r="DM158" s="5">
        <v>-0.14087136315316501</v>
      </c>
      <c r="DN158" s="5">
        <v>0.31780030685273802</v>
      </c>
      <c r="DO158" s="5">
        <v>-0.135146400759239</v>
      </c>
      <c r="DP158" s="5">
        <v>9.5152903150884593E-2</v>
      </c>
      <c r="DQ158" s="5">
        <v>1.0952780663873301E-2</v>
      </c>
      <c r="DR158" s="5">
        <v>0.75829867026511599</v>
      </c>
      <c r="DS158" s="5">
        <v>-0.52668459552992097</v>
      </c>
      <c r="DT158" s="5">
        <v>4.2773709709676797E-2</v>
      </c>
      <c r="DU158" s="5">
        <v>-6.4546360498265098E-3</v>
      </c>
      <c r="DV158" s="5">
        <v>0.150414150373328</v>
      </c>
      <c r="DW158" s="5">
        <v>-0.11072327761874901</v>
      </c>
      <c r="DX158" s="5">
        <v>0.492704387677314</v>
      </c>
      <c r="DY158" s="5">
        <v>-0.230212797884459</v>
      </c>
      <c r="DZ158" s="5">
        <v>0.57806710115925397</v>
      </c>
      <c r="EA158" s="5">
        <v>-0.30528019437522202</v>
      </c>
      <c r="EB158" s="5">
        <v>0.14720293969451001</v>
      </c>
      <c r="EC158" s="5">
        <v>-9.2852744624275202E-2</v>
      </c>
      <c r="ED158" s="5">
        <v>0.18105641375987999</v>
      </c>
      <c r="EE158" s="5">
        <v>-0.100368063728343</v>
      </c>
      <c r="EF158" s="5">
        <v>0.158947903116094</v>
      </c>
      <c r="EG158" s="5">
        <v>-0.100789194356785</v>
      </c>
      <c r="EH158" s="5">
        <v>0.183043557597805</v>
      </c>
      <c r="EI158" s="5">
        <v>-0.110228491582338</v>
      </c>
      <c r="EJ158" s="5">
        <v>0.19115737095698801</v>
      </c>
      <c r="EK158" s="5">
        <v>-0.116958730954586</v>
      </c>
      <c r="EL158" s="5">
        <v>0.144749272959312</v>
      </c>
      <c r="EM158" s="5">
        <v>-6.7623543972424593E-2</v>
      </c>
      <c r="EN158" s="5">
        <v>0.523847962806955</v>
      </c>
      <c r="EO158" s="5">
        <v>-0.28424963242761098</v>
      </c>
      <c r="EP158" s="5">
        <v>0.14688348385960201</v>
      </c>
      <c r="EQ158" s="5">
        <v>-0.102677522392549</v>
      </c>
      <c r="ER158" s="5">
        <v>0.17261905384503101</v>
      </c>
      <c r="ES158" s="5">
        <v>-0.120205196291228</v>
      </c>
      <c r="ET158" s="5">
        <v>0.10534726511646</v>
      </c>
      <c r="EU158" s="5">
        <v>-0.102059776803213</v>
      </c>
      <c r="EV158" s="5">
        <v>7.3918304208250699E-2</v>
      </c>
      <c r="EW158" s="5">
        <v>-8.5126304890980706E-2</v>
      </c>
      <c r="EX158" s="5">
        <v>8.7927033480470998E-2</v>
      </c>
      <c r="EY158" s="5">
        <v>-4.16548716271187E-2</v>
      </c>
      <c r="EZ158" s="5">
        <v>0.14777101022424299</v>
      </c>
      <c r="FA158" s="5">
        <v>-8.9063089691696504E-2</v>
      </c>
      <c r="FB158" s="5">
        <v>1</v>
      </c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</row>
    <row r="159" spans="1:389" x14ac:dyDescent="0.45">
      <c r="A159" s="4" t="str">
        <f ca="1">"HRV / beta2dist in "&amp;CELL("address",'damages-1990'!$K$80)</f>
        <v>HRV / beta2dist in '[BHM betas v3pd.xlsx]damages-1990'!$K$80</v>
      </c>
      <c r="B159" s="6">
        <v>-0.13691286157972599</v>
      </c>
      <c r="C159" s="5">
        <v>0.12978198790323001</v>
      </c>
      <c r="D159" s="5">
        <v>-2.0898912190281901E-3</v>
      </c>
      <c r="E159" s="5">
        <v>0.18087349347758699</v>
      </c>
      <c r="F159" s="5">
        <v>-0.62135658792276305</v>
      </c>
      <c r="G159" s="5">
        <v>0.76462317401338598</v>
      </c>
      <c r="H159" s="5">
        <v>-0.38335448720549398</v>
      </c>
      <c r="I159" s="5">
        <v>0.291858678947787</v>
      </c>
      <c r="J159" s="5">
        <v>7.24986032923952E-2</v>
      </c>
      <c r="K159" s="5">
        <v>0.13489706811560301</v>
      </c>
      <c r="L159" s="5">
        <v>-6.6201018257794703E-2</v>
      </c>
      <c r="M159" s="5">
        <v>0.120024229045713</v>
      </c>
      <c r="N159" s="5">
        <v>-0.37969205927799099</v>
      </c>
      <c r="O159" s="5">
        <v>0.29947633852264399</v>
      </c>
      <c r="P159" s="5">
        <v>-8.3032398843167196E-2</v>
      </c>
      <c r="Q159" s="5">
        <v>0.179486948096267</v>
      </c>
      <c r="R159" s="5">
        <v>8.9478977878610796E-2</v>
      </c>
      <c r="S159" s="5">
        <v>6.2882680981556305E-2</v>
      </c>
      <c r="T159" s="5">
        <v>-0.64171336690916103</v>
      </c>
      <c r="U159" s="5">
        <v>0.622809389278978</v>
      </c>
      <c r="V159" s="5">
        <v>-0.16868079444304501</v>
      </c>
      <c r="W159" s="5">
        <v>0.180735849527878</v>
      </c>
      <c r="X159" s="5">
        <v>-3.8767968121402901E-2</v>
      </c>
      <c r="Y159" s="5">
        <v>0.191142817329469</v>
      </c>
      <c r="Z159" s="5">
        <v>-0.57136957341232897</v>
      </c>
      <c r="AA159" s="5">
        <v>0.58912463649901203</v>
      </c>
      <c r="AB159" s="5">
        <v>-7.5578617868102002E-3</v>
      </c>
      <c r="AC159" s="5">
        <v>0.12077483051757</v>
      </c>
      <c r="AD159" s="5">
        <v>-2.0884605899185501E-2</v>
      </c>
      <c r="AE159" s="5">
        <v>0.12601351881429401</v>
      </c>
      <c r="AF159" s="5">
        <v>0.189007533673613</v>
      </c>
      <c r="AG159" s="5">
        <v>-4.08922269215172E-2</v>
      </c>
      <c r="AH159" s="5">
        <v>-0.64394210364555604</v>
      </c>
      <c r="AI159" s="5">
        <v>0.75997019856083703</v>
      </c>
      <c r="AJ159" s="5">
        <v>9.1722789738427804E-2</v>
      </c>
      <c r="AK159" s="5">
        <v>9.5193636389109104E-2</v>
      </c>
      <c r="AL159" s="5">
        <v>7.8223121705775694E-2</v>
      </c>
      <c r="AM159" s="5">
        <v>2.1948882742906E-2</v>
      </c>
      <c r="AN159" s="5">
        <v>-0.73162534390591705</v>
      </c>
      <c r="AO159" s="5">
        <v>0.80938540763842903</v>
      </c>
      <c r="AP159" s="5">
        <v>-0.43578631885007202</v>
      </c>
      <c r="AQ159" s="5">
        <v>0.37055494376697801</v>
      </c>
      <c r="AR159" s="5">
        <v>6.3531010187462697E-2</v>
      </c>
      <c r="AS159" s="5">
        <v>8.0635756570137607E-2</v>
      </c>
      <c r="AT159" s="5">
        <v>0.15337137554715699</v>
      </c>
      <c r="AU159" s="5">
        <v>-9.0123932324019801E-2</v>
      </c>
      <c r="AV159" s="5">
        <v>0.130075974314113</v>
      </c>
      <c r="AW159" s="5">
        <v>3.9473612716573202E-2</v>
      </c>
      <c r="AX159" s="5">
        <v>0.117141125886908</v>
      </c>
      <c r="AY159" s="5">
        <v>0.134622685706585</v>
      </c>
      <c r="AZ159" s="5">
        <v>-5.7409414213294499E-2</v>
      </c>
      <c r="BA159" s="5">
        <v>0.139410350167053</v>
      </c>
      <c r="BB159" s="5">
        <v>5.6397134114371299E-2</v>
      </c>
      <c r="BC159" s="5">
        <v>0.139537373136702</v>
      </c>
      <c r="BD159" s="5">
        <v>-0.33126769071330397</v>
      </c>
      <c r="BE159" s="5">
        <v>0.31111542885881399</v>
      </c>
      <c r="BF159" s="5">
        <v>-1.8300320838164599E-2</v>
      </c>
      <c r="BG159" s="5">
        <v>0.16405165611383499</v>
      </c>
      <c r="BH159" s="5">
        <v>1.87423420720189E-2</v>
      </c>
      <c r="BI159" s="5">
        <v>0.135999131850464</v>
      </c>
      <c r="BJ159" s="5">
        <v>-0.40810737897478</v>
      </c>
      <c r="BK159" s="5">
        <v>0.19167730704477401</v>
      </c>
      <c r="BL159" s="5">
        <v>-0.58250144726944797</v>
      </c>
      <c r="BM159" s="5">
        <v>0.54301836034983697</v>
      </c>
      <c r="BN159" s="5">
        <v>-0.25339212851093001</v>
      </c>
      <c r="BO159" s="5">
        <v>9.4870874058889595E-2</v>
      </c>
      <c r="BP159" s="5">
        <v>-0.35238244691606602</v>
      </c>
      <c r="BQ159" s="5">
        <v>0.21384803407160699</v>
      </c>
      <c r="BR159" s="5">
        <v>-8.6886224395169007E-2</v>
      </c>
      <c r="BS159" s="5">
        <v>0.194199434999836</v>
      </c>
      <c r="BT159" s="5">
        <v>4.49261754651962E-2</v>
      </c>
      <c r="BU159" s="5">
        <v>0.119748325288418</v>
      </c>
      <c r="BV159" s="5">
        <v>-1.04482625478766E-2</v>
      </c>
      <c r="BW159" s="5">
        <v>0.20565787372160599</v>
      </c>
      <c r="BX159" s="5">
        <v>2.5522464926677001E-2</v>
      </c>
      <c r="BY159" s="5">
        <v>0.13872635511460499</v>
      </c>
      <c r="BZ159" s="5">
        <v>4.3124924678073197E-2</v>
      </c>
      <c r="CA159" s="5">
        <v>0.160673442280234</v>
      </c>
      <c r="CB159" s="5">
        <v>2.8932262662144902E-2</v>
      </c>
      <c r="CC159" s="5">
        <v>9.0609165888101098E-2</v>
      </c>
      <c r="CD159" s="5">
        <v>-8.2598216925999206E-3</v>
      </c>
      <c r="CE159" s="5">
        <v>5.9750506796942097E-2</v>
      </c>
      <c r="CF159" s="5">
        <v>2.1948634887407299E-2</v>
      </c>
      <c r="CG159" s="5">
        <v>8.6926973585070802E-2</v>
      </c>
      <c r="CH159" s="5">
        <v>6.6449907554226098E-2</v>
      </c>
      <c r="CI159" s="5">
        <v>3.7819176493288899E-2</v>
      </c>
      <c r="CJ159" s="5">
        <v>6.2536570038124906E-2</v>
      </c>
      <c r="CK159" s="5">
        <v>2.6282015363058202E-3</v>
      </c>
      <c r="CL159" s="5">
        <v>-0.66463048271654002</v>
      </c>
      <c r="CM159" s="5">
        <v>0.67240491859538098</v>
      </c>
      <c r="CN159" s="5">
        <v>-0.62414522143205997</v>
      </c>
      <c r="CO159" s="5">
        <v>0.64152932613846103</v>
      </c>
      <c r="CP159" s="5">
        <v>-5.7437752066615597E-2</v>
      </c>
      <c r="CQ159" s="5">
        <v>0.13921823428108801</v>
      </c>
      <c r="CR159" s="5">
        <v>-7.2970444990961794E-2</v>
      </c>
      <c r="CS159" s="5">
        <v>0.15405604098576101</v>
      </c>
      <c r="CT159" s="5">
        <v>-0.51517898210457502</v>
      </c>
      <c r="CU159" s="5">
        <v>0.47767937614407202</v>
      </c>
      <c r="CV159" s="5">
        <v>-7.2272757636221693E-2</v>
      </c>
      <c r="CW159" s="5">
        <v>0.17398596563476701</v>
      </c>
      <c r="CX159" s="5">
        <v>0.12604240938702099</v>
      </c>
      <c r="CY159" s="5">
        <v>2.2698275674450801E-2</v>
      </c>
      <c r="CZ159" s="5">
        <v>-3.6171661212967197E-4</v>
      </c>
      <c r="DA159" s="5">
        <v>0.17344688256940399</v>
      </c>
      <c r="DB159" s="5">
        <v>0.18038170384454699</v>
      </c>
      <c r="DC159" s="5">
        <v>-2.5801195512677001E-2</v>
      </c>
      <c r="DD159" s="5">
        <v>-3.1312581559313102E-2</v>
      </c>
      <c r="DE159" s="5">
        <v>0.12711809435639601</v>
      </c>
      <c r="DF159" s="5">
        <v>9.1845733610970204E-2</v>
      </c>
      <c r="DG159" s="5">
        <v>1.4208941505319801E-2</v>
      </c>
      <c r="DH159" s="5">
        <v>-0.25081466429762</v>
      </c>
      <c r="DI159" s="5">
        <v>0.314681528594833</v>
      </c>
      <c r="DJ159" s="5">
        <v>-0.36986581946948299</v>
      </c>
      <c r="DK159" s="5">
        <v>0.29550690231589499</v>
      </c>
      <c r="DL159" s="5">
        <v>-0.10166567281031599</v>
      </c>
      <c r="DM159" s="5">
        <v>0.21076829684753401</v>
      </c>
      <c r="DN159" s="5">
        <v>-0.31814840544411399</v>
      </c>
      <c r="DO159" s="5">
        <v>0.214593990557197</v>
      </c>
      <c r="DP159" s="5">
        <v>0.100209146979038</v>
      </c>
      <c r="DQ159" s="5">
        <v>-6.9669353669326401E-3</v>
      </c>
      <c r="DR159" s="5">
        <v>-0.53589753428361697</v>
      </c>
      <c r="DS159" s="5">
        <v>0.61447527145330005</v>
      </c>
      <c r="DT159" s="5">
        <v>3.4213469702718699E-2</v>
      </c>
      <c r="DU159" s="5">
        <v>3.4157316699633601E-2</v>
      </c>
      <c r="DV159" s="5">
        <v>-3.7330328153310402E-2</v>
      </c>
      <c r="DW159" s="5">
        <v>0.16871841738334101</v>
      </c>
      <c r="DX159" s="5">
        <v>-0.36736184633158497</v>
      </c>
      <c r="DY159" s="5">
        <v>0.27611072832214301</v>
      </c>
      <c r="DZ159" s="5">
        <v>-0.39839914633423101</v>
      </c>
      <c r="EA159" s="5">
        <v>0.34561728944221598</v>
      </c>
      <c r="EB159" s="5">
        <v>-2.3232665822996199E-2</v>
      </c>
      <c r="EC159" s="5">
        <v>0.15289341071283699</v>
      </c>
      <c r="ED159" s="5">
        <v>-2.0277894595575E-2</v>
      </c>
      <c r="EE159" s="5">
        <v>0.150470166996787</v>
      </c>
      <c r="EF159" s="5">
        <v>-9.0695674104857196E-2</v>
      </c>
      <c r="EG159" s="5">
        <v>0.17177462393255899</v>
      </c>
      <c r="EH159" s="5">
        <v>-2.4015223710482899E-3</v>
      </c>
      <c r="EI159" s="5">
        <v>0.14782002820721199</v>
      </c>
      <c r="EJ159" s="5">
        <v>-1.8479758073677601E-2</v>
      </c>
      <c r="EK159" s="5">
        <v>0.16713925037968599</v>
      </c>
      <c r="EL159" s="5">
        <v>7.3957055850513695E-2</v>
      </c>
      <c r="EM159" s="5">
        <v>4.9047042059581401E-2</v>
      </c>
      <c r="EN159" s="5">
        <v>-0.25179566191694402</v>
      </c>
      <c r="EO159" s="5">
        <v>0.312778333458616</v>
      </c>
      <c r="EP159" s="5">
        <v>-8.5208927658653802E-2</v>
      </c>
      <c r="EQ159" s="5">
        <v>0.17254104109048199</v>
      </c>
      <c r="ER159" s="5">
        <v>3.2613724983187202E-2</v>
      </c>
      <c r="ES159" s="5">
        <v>0.143994090497294</v>
      </c>
      <c r="ET159" s="5">
        <v>9.7195788121582805E-2</v>
      </c>
      <c r="EU159" s="5">
        <v>8.4659928927759004E-2</v>
      </c>
      <c r="EV159" s="5">
        <v>0.11960188838568001</v>
      </c>
      <c r="EW159" s="5">
        <v>8.0679632187067196E-2</v>
      </c>
      <c r="EX159" s="5">
        <v>0.14777295262022799</v>
      </c>
      <c r="EY159" s="5">
        <v>-5.4533840356760198E-3</v>
      </c>
      <c r="EZ159" s="5">
        <v>2.97791689814987E-2</v>
      </c>
      <c r="FA159" s="5">
        <v>0.131865346698464</v>
      </c>
      <c r="FB159" s="5">
        <v>-0.83105954460741005</v>
      </c>
      <c r="FC159" s="5">
        <v>1</v>
      </c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</row>
    <row r="160" spans="1:389" x14ac:dyDescent="0.45">
      <c r="A160" s="4" t="str">
        <f ca="1">"HTI / beta1dist in "&amp;CELL("address",'damages-1990'!$J$81)</f>
        <v>HTI / beta1dist in '[BHM betas v3pd.xlsx]damages-1990'!$J$81</v>
      </c>
      <c r="B160" s="6">
        <v>6.1413647779324898E-2</v>
      </c>
      <c r="C160" s="5">
        <v>0.262925603923643</v>
      </c>
      <c r="D160" s="5">
        <v>0.47651184934570801</v>
      </c>
      <c r="E160" s="5">
        <v>-0.20703258086040699</v>
      </c>
      <c r="F160" s="5">
        <v>0.16355639170094999</v>
      </c>
      <c r="G160" s="5">
        <v>-3.6291605791501702E-2</v>
      </c>
      <c r="H160" s="5">
        <v>7.2380439329493798E-2</v>
      </c>
      <c r="I160" s="5">
        <v>-0.116260092905924</v>
      </c>
      <c r="J160" s="5">
        <v>0.29375185854694202</v>
      </c>
      <c r="K160" s="5">
        <v>-2.83427938628396E-2</v>
      </c>
      <c r="L160" s="5">
        <v>0.150554666793875</v>
      </c>
      <c r="M160" s="5">
        <v>0.18110065549454599</v>
      </c>
      <c r="N160" s="5">
        <v>6.8317706315609197E-2</v>
      </c>
      <c r="O160" s="5">
        <v>-9.7150050259014506E-2</v>
      </c>
      <c r="P160" s="5">
        <v>0.40721540046118399</v>
      </c>
      <c r="Q160" s="5">
        <v>-0.216734421980491</v>
      </c>
      <c r="R160" s="5">
        <v>0.53134865556163402</v>
      </c>
      <c r="S160" s="5">
        <v>-0.342531930793947</v>
      </c>
      <c r="T160" s="5">
        <v>6.1853416349289501E-2</v>
      </c>
      <c r="U160" s="5">
        <v>-6.8980948042535906E-2</v>
      </c>
      <c r="V160" s="5">
        <v>0.13185801323458099</v>
      </c>
      <c r="W160" s="5">
        <v>0.1575452587126</v>
      </c>
      <c r="X160" s="5">
        <v>0.53114848162443196</v>
      </c>
      <c r="Y160" s="5">
        <v>-0.295439818681488</v>
      </c>
      <c r="Z160" s="5">
        <v>0.140881750793557</v>
      </c>
      <c r="AA160" s="5">
        <v>-0.10732927823350601</v>
      </c>
      <c r="AB160" s="5">
        <v>0.446672329232153</v>
      </c>
      <c r="AC160" s="5">
        <v>-0.223429192697501</v>
      </c>
      <c r="AD160" s="5">
        <v>0.46307082647004699</v>
      </c>
      <c r="AE160" s="5">
        <v>-0.221220586681103</v>
      </c>
      <c r="AF160" s="5">
        <v>7.6555545799752003E-2</v>
      </c>
      <c r="AG160" s="5">
        <v>0.16661490945796101</v>
      </c>
      <c r="AH160" s="5">
        <v>0.156588317791065</v>
      </c>
      <c r="AI160" s="5">
        <v>-5.6437550721661102E-2</v>
      </c>
      <c r="AJ160" s="5">
        <v>0.27114752755784299</v>
      </c>
      <c r="AK160" s="5">
        <v>-1.2759070797707999E-2</v>
      </c>
      <c r="AL160" s="5">
        <v>0.55568635460781401</v>
      </c>
      <c r="AM160" s="5">
        <v>-0.47367409165482999</v>
      </c>
      <c r="AN160" s="5">
        <v>0.10914439153516001</v>
      </c>
      <c r="AO160" s="5">
        <v>-5.8584737109902099E-2</v>
      </c>
      <c r="AP160" s="5">
        <v>-4.7795198294394603E-2</v>
      </c>
      <c r="AQ160" s="5">
        <v>7.0174474334432094E-2</v>
      </c>
      <c r="AR160" s="5">
        <v>0.48573920132941401</v>
      </c>
      <c r="AS160" s="5">
        <v>-0.32186418596448901</v>
      </c>
      <c r="AT160" s="5">
        <v>0.166801431707196</v>
      </c>
      <c r="AU160" s="5">
        <v>1.5233748086185301E-3</v>
      </c>
      <c r="AV160" s="5">
        <v>0.43134389935614698</v>
      </c>
      <c r="AW160" s="5">
        <v>-0.27406046110857901</v>
      </c>
      <c r="AX160" s="5">
        <v>0.51827898743795797</v>
      </c>
      <c r="AY160" s="5">
        <v>-0.40200943424822</v>
      </c>
      <c r="AZ160" s="5">
        <v>0.30876599862729498</v>
      </c>
      <c r="BA160" s="5">
        <v>-0.121279802069158</v>
      </c>
      <c r="BB160" s="5">
        <v>0.373026688272181</v>
      </c>
      <c r="BC160" s="5">
        <v>-6.7623789477649202E-2</v>
      </c>
      <c r="BD160" s="5">
        <v>9.4856970715880104E-2</v>
      </c>
      <c r="BE160" s="5">
        <v>0.13246436045775101</v>
      </c>
      <c r="BF160" s="5">
        <v>0.26653152632309202</v>
      </c>
      <c r="BG160" s="5">
        <v>-1.8494468362575098E-2</v>
      </c>
      <c r="BH160" s="5">
        <v>0.44322278293509398</v>
      </c>
      <c r="BI160" s="5">
        <v>-0.18657418022682901</v>
      </c>
      <c r="BJ160" s="5">
        <v>-0.30794265541878701</v>
      </c>
      <c r="BK160" s="5">
        <v>0.31543648494395199</v>
      </c>
      <c r="BL160" s="5">
        <v>0.12058806512371301</v>
      </c>
      <c r="BM160" s="5">
        <v>-0.15639342552618701</v>
      </c>
      <c r="BN160" s="5">
        <v>1.8281971128613701E-2</v>
      </c>
      <c r="BO160" s="5">
        <v>-1.7691523997446699E-2</v>
      </c>
      <c r="BP160" s="5">
        <v>-2.7757712216908301E-2</v>
      </c>
      <c r="BQ160" s="5">
        <v>8.1063178435521202E-2</v>
      </c>
      <c r="BR160" s="5">
        <v>0.555629484222532</v>
      </c>
      <c r="BS160" s="5">
        <v>-0.31856173583606101</v>
      </c>
      <c r="BT160" s="5">
        <v>0.53545636749693404</v>
      </c>
      <c r="BU160" s="5">
        <v>-0.31113533639427299</v>
      </c>
      <c r="BV160" s="5">
        <v>0.58058506416223499</v>
      </c>
      <c r="BW160" s="5">
        <v>-0.34868112701123699</v>
      </c>
      <c r="BX160" s="5">
        <v>0.49657159300940001</v>
      </c>
      <c r="BY160" s="5">
        <v>-0.29637360017744802</v>
      </c>
      <c r="BZ160" s="5">
        <v>0.51691962053004903</v>
      </c>
      <c r="CA160" s="5">
        <v>-0.34753243694124197</v>
      </c>
      <c r="CB160" s="5">
        <v>0.63742261666324995</v>
      </c>
      <c r="CC160" s="5">
        <v>-0.55867336027624903</v>
      </c>
      <c r="CD160" s="5">
        <v>0.29720513375461</v>
      </c>
      <c r="CE160" s="5">
        <v>-0.12721985991088899</v>
      </c>
      <c r="CF160" s="5">
        <v>0.50350376184505496</v>
      </c>
      <c r="CG160" s="5">
        <v>-0.34374781758011802</v>
      </c>
      <c r="CH160" s="5">
        <v>0.53572705955132205</v>
      </c>
      <c r="CI160" s="5">
        <v>-0.45526198576734001</v>
      </c>
      <c r="CJ160" s="5">
        <v>9.2706472331907902E-2</v>
      </c>
      <c r="CK160" s="5">
        <v>4.0145513392469898E-2</v>
      </c>
      <c r="CL160" s="5">
        <v>7.1799523427041503E-2</v>
      </c>
      <c r="CM160" s="5">
        <v>-4.6432514317192503E-2</v>
      </c>
      <c r="CN160" s="5">
        <v>0.12178514789631199</v>
      </c>
      <c r="CO160" s="5">
        <v>-9.59178992214193E-2</v>
      </c>
      <c r="CP160" s="5">
        <v>0.22240564508976099</v>
      </c>
      <c r="CQ160" s="5">
        <v>-3.1937143324225099E-2</v>
      </c>
      <c r="CR160" s="5">
        <v>0.43441932547995099</v>
      </c>
      <c r="CS160" s="5">
        <v>-0.224448721656865</v>
      </c>
      <c r="CT160" s="5">
        <v>0.11128808042673199</v>
      </c>
      <c r="CU160" s="5">
        <v>-0.102489042160156</v>
      </c>
      <c r="CV160" s="5">
        <v>0.83300127791508904</v>
      </c>
      <c r="CW160" s="5">
        <v>-0.64724383968757204</v>
      </c>
      <c r="CX160" s="5">
        <v>0.30342455354598902</v>
      </c>
      <c r="CY160" s="5">
        <v>-6.0149281158251501E-2</v>
      </c>
      <c r="CZ160" s="5">
        <v>0.544248071468033</v>
      </c>
      <c r="DA160" s="5">
        <v>-0.39769430102534398</v>
      </c>
      <c r="DB160" s="5">
        <v>0.205984222876026</v>
      </c>
      <c r="DC160" s="5">
        <v>9.10657442818463E-2</v>
      </c>
      <c r="DD160" s="5">
        <v>0.24002243162921699</v>
      </c>
      <c r="DE160" s="5">
        <v>-2.2560002853699499E-2</v>
      </c>
      <c r="DF160" s="5">
        <v>0.33768477662958701</v>
      </c>
      <c r="DG160" s="5">
        <v>-0.10546482677035</v>
      </c>
      <c r="DH160" s="5">
        <v>0.19701981602209501</v>
      </c>
      <c r="DI160" s="5">
        <v>-3.7050786393779199E-2</v>
      </c>
      <c r="DJ160" s="5">
        <v>-4.1069882117027501E-2</v>
      </c>
      <c r="DK160" s="5">
        <v>3.31378946193552E-2</v>
      </c>
      <c r="DL160" s="5">
        <v>0.341885492743217</v>
      </c>
      <c r="DM160" s="5">
        <v>-7.7250982927095299E-2</v>
      </c>
      <c r="DN160" s="5">
        <v>-0.111854170053536</v>
      </c>
      <c r="DO160" s="5">
        <v>9.8116781191949498E-2</v>
      </c>
      <c r="DP160" s="5">
        <v>6.43189611153374E-2</v>
      </c>
      <c r="DQ160" s="5">
        <v>0.223564292976491</v>
      </c>
      <c r="DR160" s="5">
        <v>0.15654036649011399</v>
      </c>
      <c r="DS160" s="5">
        <v>-7.9845037725516599E-2</v>
      </c>
      <c r="DT160" s="5">
        <v>0.10219642858917399</v>
      </c>
      <c r="DU160" s="5">
        <v>8.6103354843677496E-2</v>
      </c>
      <c r="DV160" s="5">
        <v>0.49850916386350203</v>
      </c>
      <c r="DW160" s="5">
        <v>-0.31880293192908199</v>
      </c>
      <c r="DX160" s="5">
        <v>5.69577695565881E-2</v>
      </c>
      <c r="DY160" s="5">
        <v>-2.9412851769894201E-2</v>
      </c>
      <c r="DZ160" s="5">
        <v>3.8878964555859999E-2</v>
      </c>
      <c r="EA160" s="5">
        <v>-3.4861194853666698E-2</v>
      </c>
      <c r="EB160" s="5">
        <v>0.55798091312520404</v>
      </c>
      <c r="EC160" s="5">
        <v>-0.32703689890030402</v>
      </c>
      <c r="ED160" s="5">
        <v>0.52328039066998999</v>
      </c>
      <c r="EE160" s="5">
        <v>-0.26315224427245898</v>
      </c>
      <c r="EF160" s="5">
        <v>0.42590181210529698</v>
      </c>
      <c r="EG160" s="5">
        <v>-0.22646126046648099</v>
      </c>
      <c r="EH160" s="5">
        <v>0.48130573026251</v>
      </c>
      <c r="EI160" s="5">
        <v>-0.200047726960285</v>
      </c>
      <c r="EJ160" s="5">
        <v>0.47346576745525398</v>
      </c>
      <c r="EK160" s="5">
        <v>-0.199657751715558</v>
      </c>
      <c r="EL160" s="5">
        <v>0.58495992835042998</v>
      </c>
      <c r="EM160" s="5">
        <v>-0.38652995214781999</v>
      </c>
      <c r="EN160" s="5">
        <v>0.130938844391045</v>
      </c>
      <c r="EO160" s="5">
        <v>1.83782252092149E-2</v>
      </c>
      <c r="EP160" s="5">
        <v>0.40382456344582701</v>
      </c>
      <c r="EQ160" s="5">
        <v>-0.227234190842698</v>
      </c>
      <c r="ER160" s="5">
        <v>0.46248726833305298</v>
      </c>
      <c r="ES160" s="5">
        <v>-0.30841361012058499</v>
      </c>
      <c r="ET160" s="5">
        <v>0.45206824198434198</v>
      </c>
      <c r="EU160" s="5">
        <v>-0.31559959176299701</v>
      </c>
      <c r="EV160" s="5">
        <v>0.43338408979326098</v>
      </c>
      <c r="EW160" s="5">
        <v>-0.32725764543237201</v>
      </c>
      <c r="EX160" s="5">
        <v>0.19813471477962499</v>
      </c>
      <c r="EY160" s="5">
        <v>-6.23593777409822E-2</v>
      </c>
      <c r="EZ160" s="5">
        <v>0.50359512244792903</v>
      </c>
      <c r="FA160" s="5">
        <v>-0.31218777807537301</v>
      </c>
      <c r="FB160" s="5">
        <v>0.14838847486408599</v>
      </c>
      <c r="FC160" s="5">
        <v>-4.3782141104860298E-2</v>
      </c>
      <c r="FD160" s="5">
        <v>1</v>
      </c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</row>
    <row r="161" spans="1:389" x14ac:dyDescent="0.45">
      <c r="A161" s="4" t="str">
        <f ca="1">"HTI / beta2dist in "&amp;CELL("address",'damages-1990'!$K$81)</f>
        <v>HTI / beta2dist in '[BHM betas v3pd.xlsx]damages-1990'!$K$81</v>
      </c>
      <c r="B161" s="6">
        <v>8.4595849019127603E-2</v>
      </c>
      <c r="C161" s="5">
        <v>-0.11098752888574601</v>
      </c>
      <c r="D161" s="5">
        <v>-0.27063374122513001</v>
      </c>
      <c r="E161" s="5">
        <v>0.37689229978484101</v>
      </c>
      <c r="F161" s="5">
        <v>-6.9273231794804005E-2</v>
      </c>
      <c r="G161" s="5">
        <v>0.13787550080590899</v>
      </c>
      <c r="H161" s="5">
        <v>-0.154113815784401</v>
      </c>
      <c r="I161" s="5">
        <v>0.15103001564594201</v>
      </c>
      <c r="J161" s="5">
        <v>-4.8145214127394802E-2</v>
      </c>
      <c r="K161" s="5">
        <v>0.121038641913731</v>
      </c>
      <c r="L161" s="5">
        <v>6.4856518036621597E-2</v>
      </c>
      <c r="M161" s="5">
        <v>-0.11563316774684</v>
      </c>
      <c r="N161" s="5">
        <v>-9.7351097114363905E-2</v>
      </c>
      <c r="O161" s="5">
        <v>0.12348902475470599</v>
      </c>
      <c r="P161" s="5">
        <v>-0.31865615441917899</v>
      </c>
      <c r="Q161" s="5">
        <v>0.367371111203673</v>
      </c>
      <c r="R161" s="5">
        <v>-0.29003040815295</v>
      </c>
      <c r="S161" s="5">
        <v>0.45818084286488497</v>
      </c>
      <c r="T161" s="5">
        <v>-0.15719231801647199</v>
      </c>
      <c r="U161" s="5">
        <v>0.162572980090924</v>
      </c>
      <c r="V161" s="5">
        <v>2.1139330655270998E-2</v>
      </c>
      <c r="W161" s="5">
        <v>-4.2568154115809498E-2</v>
      </c>
      <c r="X161" s="5">
        <v>-0.36115946795881498</v>
      </c>
      <c r="Y161" s="5">
        <v>0.486068274579389</v>
      </c>
      <c r="Z161" s="5">
        <v>-0.15171933659407599</v>
      </c>
      <c r="AA161" s="5">
        <v>0.19452038864809201</v>
      </c>
      <c r="AB161" s="5">
        <v>-0.28089900396499501</v>
      </c>
      <c r="AC161" s="5">
        <v>0.36614306104490002</v>
      </c>
      <c r="AD161" s="5">
        <v>-0.31979318194748002</v>
      </c>
      <c r="AE161" s="5">
        <v>0.39755117335366702</v>
      </c>
      <c r="AF161" s="5">
        <v>9.9065987338612799E-2</v>
      </c>
      <c r="AG161" s="5">
        <v>-4.9387364043909102E-2</v>
      </c>
      <c r="AH161" s="5">
        <v>-9.6683237135644196E-2</v>
      </c>
      <c r="AI161" s="5">
        <v>0.15602669089682</v>
      </c>
      <c r="AJ161" s="5">
        <v>-9.3093186492222604E-2</v>
      </c>
      <c r="AK161" s="5">
        <v>0.152319157385818</v>
      </c>
      <c r="AL161" s="5">
        <v>-0.33802749098452001</v>
      </c>
      <c r="AM161" s="5">
        <v>0.44331689315095801</v>
      </c>
      <c r="AN161" s="5">
        <v>-0.139244878353943</v>
      </c>
      <c r="AO161" s="5">
        <v>0.18230280675414701</v>
      </c>
      <c r="AP161" s="5">
        <v>-9.0040985088017805E-2</v>
      </c>
      <c r="AQ161" s="5">
        <v>8.4778070112272397E-2</v>
      </c>
      <c r="AR161" s="5">
        <v>-0.279224412348407</v>
      </c>
      <c r="AS161" s="5">
        <v>0.39989132773167502</v>
      </c>
      <c r="AT161" s="5">
        <v>5.9143976043818401E-2</v>
      </c>
      <c r="AU161" s="5">
        <v>-8.1433118106109606E-2</v>
      </c>
      <c r="AV161" s="5">
        <v>-0.16608966614961401</v>
      </c>
      <c r="AW161" s="5">
        <v>0.38186636818781</v>
      </c>
      <c r="AX161" s="5">
        <v>-0.28628165496778901</v>
      </c>
      <c r="AY161" s="5">
        <v>0.54903610146816395</v>
      </c>
      <c r="AZ161" s="5">
        <v>-0.20219666542328901</v>
      </c>
      <c r="BA161" s="5">
        <v>0.24600092773822199</v>
      </c>
      <c r="BB161" s="5">
        <v>-0.109103971188832</v>
      </c>
      <c r="BC161" s="5">
        <v>0.16589059156158301</v>
      </c>
      <c r="BD161" s="5">
        <v>-4.8561059778347501E-2</v>
      </c>
      <c r="BE161" s="5">
        <v>9.3158127995999304E-2</v>
      </c>
      <c r="BF161" s="5">
        <v>-8.8497608417072299E-2</v>
      </c>
      <c r="BG161" s="5">
        <v>0.12566305696036301</v>
      </c>
      <c r="BH161" s="5">
        <v>-0.22779318591052</v>
      </c>
      <c r="BI161" s="5">
        <v>0.34567229352241802</v>
      </c>
      <c r="BJ161" s="5">
        <v>7.7708297952000294E-2</v>
      </c>
      <c r="BK161" s="5">
        <v>-0.247004263317428</v>
      </c>
      <c r="BL161" s="5">
        <v>-0.23219626269510801</v>
      </c>
      <c r="BM161" s="5">
        <v>0.242443091182866</v>
      </c>
      <c r="BN161" s="5">
        <v>-6.8367054597800694E-2</v>
      </c>
      <c r="BO161" s="5">
        <v>0.107953218705392</v>
      </c>
      <c r="BP161" s="5">
        <v>-4.7088317250917298E-2</v>
      </c>
      <c r="BQ161" s="5">
        <v>1.67015792953468E-2</v>
      </c>
      <c r="BR161" s="5">
        <v>-0.44151809560331401</v>
      </c>
      <c r="BS161" s="5">
        <v>0.52284420865768799</v>
      </c>
      <c r="BT161" s="5">
        <v>-0.29710269849336501</v>
      </c>
      <c r="BU161" s="5">
        <v>0.46294435425611802</v>
      </c>
      <c r="BV161" s="5">
        <v>-0.39117845914577898</v>
      </c>
      <c r="BW161" s="5">
        <v>0.54334963953623305</v>
      </c>
      <c r="BX161" s="5">
        <v>-0.29568060825390902</v>
      </c>
      <c r="BY161" s="5">
        <v>0.45278156628509503</v>
      </c>
      <c r="BZ161" s="5">
        <v>-0.31760262410391299</v>
      </c>
      <c r="CA161" s="5">
        <v>0.49092793555494102</v>
      </c>
      <c r="CB161" s="5">
        <v>-0.49742148199455399</v>
      </c>
      <c r="CC161" s="5">
        <v>0.67810702932615696</v>
      </c>
      <c r="CD161" s="5">
        <v>-0.11893860920791099</v>
      </c>
      <c r="CE161" s="5">
        <v>0.14346115953066299</v>
      </c>
      <c r="CF161" s="5">
        <v>-0.39080342766592002</v>
      </c>
      <c r="CG161" s="5">
        <v>0.47671087190580103</v>
      </c>
      <c r="CH161" s="5">
        <v>-0.30640583182803599</v>
      </c>
      <c r="CI161" s="5">
        <v>0.40887973079700701</v>
      </c>
      <c r="CJ161" s="5">
        <v>5.8276214989982401E-2</v>
      </c>
      <c r="CK161" s="5">
        <v>2.1195846093348199E-3</v>
      </c>
      <c r="CL161" s="5">
        <v>-0.129284932405789</v>
      </c>
      <c r="CM161" s="5">
        <v>0.13542421115555101</v>
      </c>
      <c r="CN161" s="5">
        <v>-0.160629092205434</v>
      </c>
      <c r="CO161" s="5">
        <v>0.18628618142116199</v>
      </c>
      <c r="CP161" s="5">
        <v>-0.185861548426935</v>
      </c>
      <c r="CQ161" s="5">
        <v>0.24137883209328001</v>
      </c>
      <c r="CR161" s="5">
        <v>-0.33304616309561702</v>
      </c>
      <c r="CS161" s="5">
        <v>0.37591059086394202</v>
      </c>
      <c r="CT161" s="5">
        <v>-0.18538297295976799</v>
      </c>
      <c r="CU161" s="5">
        <v>0.20309058350644901</v>
      </c>
      <c r="CV161" s="5">
        <v>-0.73325189921607004</v>
      </c>
      <c r="CW161" s="5">
        <v>0.82922747089147897</v>
      </c>
      <c r="CX161" s="5">
        <v>-9.5337058227496996E-2</v>
      </c>
      <c r="CY161" s="5">
        <v>0.19077050158897299</v>
      </c>
      <c r="CZ161" s="5">
        <v>-0.35684671576876498</v>
      </c>
      <c r="DA161" s="5">
        <v>0.51826001829062596</v>
      </c>
      <c r="DB161" s="5">
        <v>5.1123451074190203E-2</v>
      </c>
      <c r="DC161" s="5">
        <v>-1.6183256005495601E-2</v>
      </c>
      <c r="DD161" s="5">
        <v>-0.14380022898457301</v>
      </c>
      <c r="DE161" s="5">
        <v>0.22858199164228499</v>
      </c>
      <c r="DF161" s="5">
        <v>-0.12093243744397</v>
      </c>
      <c r="DG161" s="5">
        <v>0.172357685585526</v>
      </c>
      <c r="DH161" s="5">
        <v>-6.31340212248198E-2</v>
      </c>
      <c r="DI161" s="5">
        <v>0.16965977155004</v>
      </c>
      <c r="DJ161" s="5">
        <v>-0.12722345239281299</v>
      </c>
      <c r="DK161" s="5">
        <v>0.13104804196241701</v>
      </c>
      <c r="DL161" s="5">
        <v>-0.17652361465463101</v>
      </c>
      <c r="DM161" s="5">
        <v>0.27313440976269998</v>
      </c>
      <c r="DN161" s="5">
        <v>-8.4921011250037398E-2</v>
      </c>
      <c r="DO161" s="5">
        <v>4.8060346436946101E-2</v>
      </c>
      <c r="DP161" s="5">
        <v>0.23144401241013801</v>
      </c>
      <c r="DQ161" s="5">
        <v>-0.29857434002757599</v>
      </c>
      <c r="DR161" s="5">
        <v>-0.11934659570356999</v>
      </c>
      <c r="DS161" s="5">
        <v>0.190784651711942</v>
      </c>
      <c r="DT161" s="5">
        <v>-6.2093371825806203E-2</v>
      </c>
      <c r="DU161" s="5">
        <v>4.20457406622377E-2</v>
      </c>
      <c r="DV161" s="5">
        <v>-0.32709550568532297</v>
      </c>
      <c r="DW161" s="5">
        <v>0.444705597785717</v>
      </c>
      <c r="DX161" s="5">
        <v>-0.11509434015020099</v>
      </c>
      <c r="DY161" s="5">
        <v>0.12215272381808701</v>
      </c>
      <c r="DZ161" s="5">
        <v>-5.8671919079991801E-2</v>
      </c>
      <c r="EA161" s="5">
        <v>8.1104315647532302E-2</v>
      </c>
      <c r="EB161" s="5">
        <v>-0.41063093333352901</v>
      </c>
      <c r="EC161" s="5">
        <v>0.51006552861393994</v>
      </c>
      <c r="ED161" s="5">
        <v>-0.35399919287645598</v>
      </c>
      <c r="EE161" s="5">
        <v>0.44405031901833902</v>
      </c>
      <c r="EF161" s="5">
        <v>-0.34913690732864799</v>
      </c>
      <c r="EG161" s="5">
        <v>0.38423362920286103</v>
      </c>
      <c r="EH161" s="5">
        <v>-0.27104855176076298</v>
      </c>
      <c r="EI161" s="5">
        <v>0.34261346788402902</v>
      </c>
      <c r="EJ161" s="5">
        <v>-0.28160451328047398</v>
      </c>
      <c r="EK161" s="5">
        <v>0.36397245396192701</v>
      </c>
      <c r="EL161" s="5">
        <v>-0.36744856318784802</v>
      </c>
      <c r="EM161" s="5">
        <v>0.50786738538083898</v>
      </c>
      <c r="EN161" s="5">
        <v>6.6465603540016502E-2</v>
      </c>
      <c r="EO161" s="5">
        <v>-1.6514931772860699E-2</v>
      </c>
      <c r="EP161" s="5">
        <v>-0.303408796806727</v>
      </c>
      <c r="EQ161" s="5">
        <v>0.360620677409215</v>
      </c>
      <c r="ER161" s="5">
        <v>-0.261185589007424</v>
      </c>
      <c r="ES161" s="5">
        <v>0.43944968912000398</v>
      </c>
      <c r="ET161" s="5">
        <v>-0.22602198503086199</v>
      </c>
      <c r="EU161" s="5">
        <v>0.397859129428145</v>
      </c>
      <c r="EV161" s="5">
        <v>-0.26059208025727498</v>
      </c>
      <c r="EW161" s="5">
        <v>0.46372829614420302</v>
      </c>
      <c r="EX161" s="5">
        <v>6.8802260004504403E-6</v>
      </c>
      <c r="EY161" s="5">
        <v>0.14432536449924599</v>
      </c>
      <c r="EZ161" s="5">
        <v>-0.32302195732647998</v>
      </c>
      <c r="FA161" s="5">
        <v>0.46664645741250899</v>
      </c>
      <c r="FB161" s="5">
        <v>-0.10036894748520001</v>
      </c>
      <c r="FC161" s="5">
        <v>0.164713913663456</v>
      </c>
      <c r="FD161" s="5">
        <v>-0.85157759933678001</v>
      </c>
      <c r="FE161" s="5">
        <v>1</v>
      </c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</row>
    <row r="162" spans="1:389" x14ac:dyDescent="0.45">
      <c r="A162" s="4" t="str">
        <f ca="1">"HUN / beta1dist in "&amp;CELL("address",'damages-1990'!$J$82)</f>
        <v>HUN / beta1dist in '[BHM betas v3pd.xlsx]damages-1990'!$J$82</v>
      </c>
      <c r="B162" s="6">
        <v>0.46666582262034201</v>
      </c>
      <c r="C162" s="5">
        <v>-0.155952431498357</v>
      </c>
      <c r="D162" s="5">
        <v>0.22422622457293301</v>
      </c>
      <c r="E162" s="5">
        <v>-0.17629149071351799</v>
      </c>
      <c r="F162" s="5">
        <v>0.79941441404875402</v>
      </c>
      <c r="G162" s="5">
        <v>-0.62543604400974895</v>
      </c>
      <c r="H162" s="5">
        <v>0.46654188864181301</v>
      </c>
      <c r="I162" s="5">
        <v>-0.27819672439775101</v>
      </c>
      <c r="J162" s="5">
        <v>6.3628538600134399E-2</v>
      </c>
      <c r="K162" s="5">
        <v>-6.6493122107120897E-2</v>
      </c>
      <c r="L162" s="5">
        <v>0.371886798793026</v>
      </c>
      <c r="M162" s="5">
        <v>-0.126164749855945</v>
      </c>
      <c r="N162" s="5">
        <v>0.52391815728578195</v>
      </c>
      <c r="O162" s="5">
        <v>-0.24885467046447601</v>
      </c>
      <c r="P162" s="5">
        <v>0.12237736098520401</v>
      </c>
      <c r="Q162" s="5">
        <v>-0.11503292605142</v>
      </c>
      <c r="R162" s="5">
        <v>0.11561498067548601</v>
      </c>
      <c r="S162" s="5">
        <v>-4.1633159222835003E-2</v>
      </c>
      <c r="T162" s="5">
        <v>0.71141608042280502</v>
      </c>
      <c r="U162" s="5">
        <v>-0.55189544535505297</v>
      </c>
      <c r="V162" s="5">
        <v>0.50410779201634703</v>
      </c>
      <c r="W162" s="5">
        <v>-0.23358836643943001</v>
      </c>
      <c r="X162" s="5">
        <v>0.24056946071614499</v>
      </c>
      <c r="Y162" s="5">
        <v>-0.151775059390725</v>
      </c>
      <c r="Z162" s="5">
        <v>0.72019948601156603</v>
      </c>
      <c r="AA162" s="5">
        <v>-0.52571145369500805</v>
      </c>
      <c r="AB162" s="5">
        <v>0.12296762159435599</v>
      </c>
      <c r="AC162" s="5">
        <v>-7.7236470215275896E-2</v>
      </c>
      <c r="AD162" s="5">
        <v>0.132923953482049</v>
      </c>
      <c r="AE162" s="5">
        <v>-6.8016861570196901E-2</v>
      </c>
      <c r="AF162" s="5">
        <v>-3.2828235528203401E-3</v>
      </c>
      <c r="AG162" s="5">
        <v>2.05190195392345E-2</v>
      </c>
      <c r="AH162" s="5">
        <v>0.83058927570775698</v>
      </c>
      <c r="AI162" s="5">
        <v>-0.65691050758474601</v>
      </c>
      <c r="AJ162" s="5">
        <v>1.5762595179432799E-2</v>
      </c>
      <c r="AK162" s="5">
        <v>-2.6616979133116399E-2</v>
      </c>
      <c r="AL162" s="5">
        <v>-1.8361449421433602E-2</v>
      </c>
      <c r="AM162" s="5">
        <v>4.1996312126091603E-2</v>
      </c>
      <c r="AN162" s="5">
        <v>0.85833531241721195</v>
      </c>
      <c r="AO162" s="5">
        <v>-0.68840330209487099</v>
      </c>
      <c r="AP162" s="5">
        <v>0.59192599115187905</v>
      </c>
      <c r="AQ162" s="5">
        <v>-0.39888925727610502</v>
      </c>
      <c r="AR162" s="5">
        <v>3.9480593888342297E-2</v>
      </c>
      <c r="AS162" s="5">
        <v>-1.31570350865357E-2</v>
      </c>
      <c r="AT162" s="5">
        <v>-5.1656785767972002E-2</v>
      </c>
      <c r="AU162" s="5">
        <v>9.5427757030754803E-2</v>
      </c>
      <c r="AV162" s="5">
        <v>9.0609014127566306E-2</v>
      </c>
      <c r="AW162" s="5">
        <v>-3.7174951608138898E-2</v>
      </c>
      <c r="AX162" s="5">
        <v>5.4392854422863603E-2</v>
      </c>
      <c r="AY162" s="5">
        <v>-8.8612107527808695E-2</v>
      </c>
      <c r="AZ162" s="5">
        <v>0.131037995317654</v>
      </c>
      <c r="BA162" s="5">
        <v>-0.108984535480234</v>
      </c>
      <c r="BB162" s="5">
        <v>9.9705414406850698E-2</v>
      </c>
      <c r="BC162" s="5">
        <v>-9.6934671322219695E-2</v>
      </c>
      <c r="BD162" s="5">
        <v>0.61285547955366704</v>
      </c>
      <c r="BE162" s="5">
        <v>-0.28431568817423403</v>
      </c>
      <c r="BF162" s="5">
        <v>0.19176562102286099</v>
      </c>
      <c r="BG162" s="5">
        <v>-0.16496595705272701</v>
      </c>
      <c r="BH162" s="5">
        <v>0.137037743441287</v>
      </c>
      <c r="BI162" s="5">
        <v>-8.3061731209001996E-2</v>
      </c>
      <c r="BJ162" s="5">
        <v>0.40568076864890501</v>
      </c>
      <c r="BK162" s="5">
        <v>-0.15959314586567899</v>
      </c>
      <c r="BL162" s="5">
        <v>0.63341282653057096</v>
      </c>
      <c r="BM162" s="5">
        <v>-0.472286135843764</v>
      </c>
      <c r="BN162" s="5">
        <v>0.46277282688266602</v>
      </c>
      <c r="BO162" s="5">
        <v>-0.101795860167775</v>
      </c>
      <c r="BP162" s="5">
        <v>0.58382706297281295</v>
      </c>
      <c r="BQ162" s="5">
        <v>-0.275553617523278</v>
      </c>
      <c r="BR162" s="5">
        <v>0.16242907758193001</v>
      </c>
      <c r="BS162" s="5">
        <v>-9.8549172633772206E-2</v>
      </c>
      <c r="BT162" s="5">
        <v>0.117094805879571</v>
      </c>
      <c r="BU162" s="5">
        <v>-5.9894205966227E-2</v>
      </c>
      <c r="BV162" s="5">
        <v>0.16034605377691</v>
      </c>
      <c r="BW162" s="5">
        <v>-0.13384745886524299</v>
      </c>
      <c r="BX162" s="5">
        <v>0.108493073982546</v>
      </c>
      <c r="BY162" s="5">
        <v>-7.7421675786867303E-2</v>
      </c>
      <c r="BZ162" s="5">
        <v>9.1023063628933407E-2</v>
      </c>
      <c r="CA162" s="5">
        <v>-0.10110818389246599</v>
      </c>
      <c r="CB162" s="5">
        <v>5.8487621732376101E-2</v>
      </c>
      <c r="CC162" s="5">
        <v>-2.97886692068789E-2</v>
      </c>
      <c r="CD162" s="5">
        <v>0.132109571366542</v>
      </c>
      <c r="CE162" s="5">
        <v>-7.1307077398454599E-2</v>
      </c>
      <c r="CF162" s="5">
        <v>7.8692508577846806E-2</v>
      </c>
      <c r="CG162" s="5">
        <v>-5.1072478924426103E-2</v>
      </c>
      <c r="CH162" s="5">
        <v>-2.0882183402243099E-2</v>
      </c>
      <c r="CI162" s="5">
        <v>3.1395691417360302E-2</v>
      </c>
      <c r="CJ162" s="5">
        <v>9.0525372074369698E-2</v>
      </c>
      <c r="CK162" s="5">
        <v>1.47775730570945E-2</v>
      </c>
      <c r="CL162" s="5">
        <v>0.78020018011968595</v>
      </c>
      <c r="CM162" s="5">
        <v>-0.61445838565390298</v>
      </c>
      <c r="CN162" s="5">
        <v>0.76470950719754405</v>
      </c>
      <c r="CO162" s="5">
        <v>-0.58921869044761599</v>
      </c>
      <c r="CP162" s="5">
        <v>0.12339529914269801</v>
      </c>
      <c r="CQ162" s="5">
        <v>-7.4628424736454493E-2</v>
      </c>
      <c r="CR162" s="5">
        <v>0.14825852718964599</v>
      </c>
      <c r="CS162" s="5">
        <v>-0.100357418549541</v>
      </c>
      <c r="CT162" s="5">
        <v>0.61496727332790202</v>
      </c>
      <c r="CU162" s="5">
        <v>-0.44400564716248903</v>
      </c>
      <c r="CV162" s="5">
        <v>0.136938660965891</v>
      </c>
      <c r="CW162" s="5">
        <v>-0.10715985518765</v>
      </c>
      <c r="CX162" s="5">
        <v>5.5885199537076498E-2</v>
      </c>
      <c r="CY162" s="5">
        <v>8.4159554641425401E-4</v>
      </c>
      <c r="CZ162" s="5">
        <v>0.146774818559085</v>
      </c>
      <c r="DA162" s="5">
        <v>-0.12747564878999301</v>
      </c>
      <c r="DB162" s="5">
        <v>3.54638658793692E-2</v>
      </c>
      <c r="DC162" s="5">
        <v>9.4279844756116702E-3</v>
      </c>
      <c r="DD162" s="5">
        <v>0.155591679635803</v>
      </c>
      <c r="DE162" s="5">
        <v>-8.5888222046007295E-2</v>
      </c>
      <c r="DF162" s="5">
        <v>6.6845559472624203E-2</v>
      </c>
      <c r="DG162" s="5">
        <v>7.5323265666140304E-4</v>
      </c>
      <c r="DH162" s="5">
        <v>0.53122933625403401</v>
      </c>
      <c r="DI162" s="5">
        <v>-0.29875573232842301</v>
      </c>
      <c r="DJ162" s="5">
        <v>0.48762066943051102</v>
      </c>
      <c r="DK162" s="5">
        <v>-0.31084608821722198</v>
      </c>
      <c r="DL162" s="5">
        <v>0.24822254901103</v>
      </c>
      <c r="DM162" s="5">
        <v>-0.13842919706866599</v>
      </c>
      <c r="DN162" s="5">
        <v>0.39676511627337302</v>
      </c>
      <c r="DO162" s="5">
        <v>-0.22245517250276101</v>
      </c>
      <c r="DP162" s="5">
        <v>9.0355553846587694E-2</v>
      </c>
      <c r="DQ162" s="5">
        <v>-2.3714860937202199E-2</v>
      </c>
      <c r="DR162" s="5">
        <v>0.73428437547905701</v>
      </c>
      <c r="DS162" s="5">
        <v>-0.54097047142021903</v>
      </c>
      <c r="DT162" s="5">
        <v>2.0238553693555299E-2</v>
      </c>
      <c r="DU162" s="5">
        <v>4.4224759572277899E-4</v>
      </c>
      <c r="DV162" s="5">
        <v>0.13451476739838</v>
      </c>
      <c r="DW162" s="5">
        <v>-0.106917295740889</v>
      </c>
      <c r="DX162" s="5">
        <v>0.54242461555879895</v>
      </c>
      <c r="DY162" s="5">
        <v>-0.31059066013130798</v>
      </c>
      <c r="DZ162" s="5">
        <v>0.57642298007060599</v>
      </c>
      <c r="EA162" s="5">
        <v>-0.31135990846505102</v>
      </c>
      <c r="EB162" s="5">
        <v>0.124667055316328</v>
      </c>
      <c r="EC162" s="5">
        <v>-7.8418661759362004E-2</v>
      </c>
      <c r="ED162" s="5">
        <v>0.143116275852821</v>
      </c>
      <c r="EE162" s="5">
        <v>-7.6469451404121203E-2</v>
      </c>
      <c r="EF162" s="5">
        <v>0.14272784641484901</v>
      </c>
      <c r="EG162" s="5">
        <v>-0.110797967111278</v>
      </c>
      <c r="EH162" s="5">
        <v>0.174276914417722</v>
      </c>
      <c r="EI162" s="5">
        <v>-0.126800910938942</v>
      </c>
      <c r="EJ162" s="5">
        <v>0.18594418966985099</v>
      </c>
      <c r="EK162" s="5">
        <v>-0.13571994313226299</v>
      </c>
      <c r="EL162" s="5">
        <v>8.4168843126392404E-2</v>
      </c>
      <c r="EM162" s="5">
        <v>-1.7703292329858102E-2</v>
      </c>
      <c r="EN162" s="5">
        <v>0.43626242635749202</v>
      </c>
      <c r="EO162" s="5">
        <v>-0.23516220505900801</v>
      </c>
      <c r="EP162" s="5">
        <v>0.153767453284746</v>
      </c>
      <c r="EQ162" s="5">
        <v>-0.13241559510369499</v>
      </c>
      <c r="ER162" s="5">
        <v>0.104796872628574</v>
      </c>
      <c r="ES162" s="5">
        <v>-7.0393157451874994E-2</v>
      </c>
      <c r="ET162" s="5">
        <v>6.17930044273972E-2</v>
      </c>
      <c r="EU162" s="5">
        <v>-8.0403177983910001E-2</v>
      </c>
      <c r="EV162" s="5">
        <v>1.87192687845017E-2</v>
      </c>
      <c r="EW162" s="5">
        <v>-5.27131310976642E-2</v>
      </c>
      <c r="EX162" s="5">
        <v>5.1275132481743202E-2</v>
      </c>
      <c r="EY162" s="5">
        <v>-4.0600843710380502E-2</v>
      </c>
      <c r="EZ162" s="5">
        <v>9.5567366255640704E-2</v>
      </c>
      <c r="FA162" s="5">
        <v>-5.34006134052806E-2</v>
      </c>
      <c r="FB162" s="5">
        <v>0.88217215198361498</v>
      </c>
      <c r="FC162" s="5">
        <v>-0.74136709550807101</v>
      </c>
      <c r="FD162" s="5">
        <v>0.109777021303995</v>
      </c>
      <c r="FE162" s="5">
        <v>-8.1690416329448998E-2</v>
      </c>
      <c r="FF162" s="5">
        <v>1</v>
      </c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</row>
    <row r="163" spans="1:389" x14ac:dyDescent="0.45">
      <c r="A163" s="4" t="str">
        <f ca="1">"HUN / beta2dist in "&amp;CELL("address",'damages-1990'!$K$82)</f>
        <v>HUN / beta2dist in '[BHM betas v3pd.xlsx]damages-1990'!$K$82</v>
      </c>
      <c r="B163" s="6">
        <v>-0.11550617706467201</v>
      </c>
      <c r="C163" s="5">
        <v>0.115672499423232</v>
      </c>
      <c r="D163" s="5">
        <v>-4.9138023004781997E-2</v>
      </c>
      <c r="E163" s="5">
        <v>0.20589661771679399</v>
      </c>
      <c r="F163" s="5">
        <v>-0.56468920459625604</v>
      </c>
      <c r="G163" s="5">
        <v>0.70873252550466703</v>
      </c>
      <c r="H163" s="5">
        <v>-0.41190022492508799</v>
      </c>
      <c r="I163" s="5">
        <v>0.35074619306757998</v>
      </c>
      <c r="J163" s="5">
        <v>9.3204293528099599E-2</v>
      </c>
      <c r="K163" s="5">
        <v>9.98733813007288E-2</v>
      </c>
      <c r="L163" s="5">
        <v>-6.9608237023461306E-2</v>
      </c>
      <c r="M163" s="5">
        <v>0.114191474481973</v>
      </c>
      <c r="N163" s="5">
        <v>-0.344939316924677</v>
      </c>
      <c r="O163" s="5">
        <v>0.26469634822829702</v>
      </c>
      <c r="P163" s="5">
        <v>-6.6682775918015497E-2</v>
      </c>
      <c r="Q163" s="5">
        <v>0.16866688193648</v>
      </c>
      <c r="R163" s="5">
        <v>0.123450423506467</v>
      </c>
      <c r="S163" s="5">
        <v>8.7455957528185004E-3</v>
      </c>
      <c r="T163" s="5">
        <v>-0.68626998551061302</v>
      </c>
      <c r="U163" s="5">
        <v>0.68969428503386598</v>
      </c>
      <c r="V163" s="5">
        <v>-0.15799938457693999</v>
      </c>
      <c r="W163" s="5">
        <v>0.19668624815723701</v>
      </c>
      <c r="X163" s="5">
        <v>-5.3121798948339703E-2</v>
      </c>
      <c r="Y163" s="5">
        <v>0.18210875196079901</v>
      </c>
      <c r="Z163" s="5">
        <v>-0.56507032249501898</v>
      </c>
      <c r="AA163" s="5">
        <v>0.61144047489142805</v>
      </c>
      <c r="AB163" s="5">
        <v>-4.0473923170520197E-2</v>
      </c>
      <c r="AC163" s="5">
        <v>0.112219619538756</v>
      </c>
      <c r="AD163" s="5">
        <v>-4.94238507171543E-2</v>
      </c>
      <c r="AE163" s="5">
        <v>0.113825038255702</v>
      </c>
      <c r="AF163" s="5">
        <v>0.173314901248698</v>
      </c>
      <c r="AG163" s="5">
        <v>-4.0802268510133799E-2</v>
      </c>
      <c r="AH163" s="5">
        <v>-0.63682423819024803</v>
      </c>
      <c r="AI163" s="5">
        <v>0.76877290812629495</v>
      </c>
      <c r="AJ163" s="5">
        <v>0.13119270187651799</v>
      </c>
      <c r="AK163" s="5">
        <v>6.0109204850062999E-2</v>
      </c>
      <c r="AL163" s="5">
        <v>0.155494534094932</v>
      </c>
      <c r="AM163" s="5">
        <v>-7.6559931045281998E-2</v>
      </c>
      <c r="AN163" s="5">
        <v>-0.72658285835172498</v>
      </c>
      <c r="AO163" s="5">
        <v>0.82570137673102995</v>
      </c>
      <c r="AP163" s="5">
        <v>-0.54481982296203002</v>
      </c>
      <c r="AQ163" s="5">
        <v>0.50436577567873397</v>
      </c>
      <c r="AR163" s="5">
        <v>0.10285456653924099</v>
      </c>
      <c r="AS163" s="5">
        <v>1.40469523763475E-2</v>
      </c>
      <c r="AT163" s="5">
        <v>0.20486410387097601</v>
      </c>
      <c r="AU163" s="5">
        <v>-0.155347541569759</v>
      </c>
      <c r="AV163" s="5">
        <v>0.13593317522991299</v>
      </c>
      <c r="AW163" s="5">
        <v>8.6260155594114398E-3</v>
      </c>
      <c r="AX163" s="5">
        <v>0.122703257087821</v>
      </c>
      <c r="AY163" s="5">
        <v>9.6052954965883106E-2</v>
      </c>
      <c r="AZ163" s="5">
        <v>-7.6641606346015995E-2</v>
      </c>
      <c r="BA163" s="5">
        <v>0.15598056331664301</v>
      </c>
      <c r="BB163" s="5">
        <v>3.8916654844888501E-2</v>
      </c>
      <c r="BC163" s="5">
        <v>0.14637263897709099</v>
      </c>
      <c r="BD163" s="5">
        <v>-0.30943083322532</v>
      </c>
      <c r="BE163" s="5">
        <v>0.298221852607016</v>
      </c>
      <c r="BF163" s="5">
        <v>-7.4439309624781694E-2</v>
      </c>
      <c r="BG163" s="5">
        <v>0.213429113510716</v>
      </c>
      <c r="BH163" s="5">
        <v>1.21091749885795E-2</v>
      </c>
      <c r="BI163" s="5">
        <v>0.107235498115432</v>
      </c>
      <c r="BJ163" s="5">
        <v>-0.42739559462494298</v>
      </c>
      <c r="BK163" s="5">
        <v>0.22766903549783599</v>
      </c>
      <c r="BL163" s="5">
        <v>-0.60261212485400295</v>
      </c>
      <c r="BM163" s="5">
        <v>0.58965308917493198</v>
      </c>
      <c r="BN163" s="5">
        <v>-0.21828972916699699</v>
      </c>
      <c r="BO163" s="5">
        <v>8.0175500742577302E-2</v>
      </c>
      <c r="BP163" s="5">
        <v>-0.37285663795482898</v>
      </c>
      <c r="BQ163" s="5">
        <v>0.27239343436748098</v>
      </c>
      <c r="BR163" s="5">
        <v>-9.1984990923256002E-2</v>
      </c>
      <c r="BS163" s="5">
        <v>0.161072269736388</v>
      </c>
      <c r="BT163" s="5">
        <v>4.9666773923186899E-2</v>
      </c>
      <c r="BU163" s="5">
        <v>7.9945549712143293E-2</v>
      </c>
      <c r="BV163" s="5">
        <v>-1.2867618249648801E-2</v>
      </c>
      <c r="BW163" s="5">
        <v>0.17255711800294199</v>
      </c>
      <c r="BX163" s="5">
        <v>1.9174366660473199E-2</v>
      </c>
      <c r="BY163" s="5">
        <v>0.10767656043575</v>
      </c>
      <c r="BZ163" s="5">
        <v>3.9831556813135098E-2</v>
      </c>
      <c r="CA163" s="5">
        <v>0.12976640263671799</v>
      </c>
      <c r="CB163" s="5">
        <v>4.7911082684279599E-2</v>
      </c>
      <c r="CC163" s="5">
        <v>4.6376469669125002E-2</v>
      </c>
      <c r="CD163" s="5">
        <v>8.4665864698790592E-3</v>
      </c>
      <c r="CE163" s="5">
        <v>4.1829417841676403E-2</v>
      </c>
      <c r="CF163" s="5">
        <v>3.3562253441719703E-2</v>
      </c>
      <c r="CG163" s="5">
        <v>4.51924334380377E-2</v>
      </c>
      <c r="CH163" s="5">
        <v>0.14461702509645</v>
      </c>
      <c r="CI163" s="5">
        <v>-5.8889410257820803E-2</v>
      </c>
      <c r="CJ163" s="5">
        <v>0.12680235783336</v>
      </c>
      <c r="CK163" s="5">
        <v>-4.0725020702317601E-2</v>
      </c>
      <c r="CL163" s="5">
        <v>-0.71739296223804305</v>
      </c>
      <c r="CM163" s="5">
        <v>0.75226271751685903</v>
      </c>
      <c r="CN163" s="5">
        <v>-0.65352216678073805</v>
      </c>
      <c r="CO163" s="5">
        <v>0.70277797199858405</v>
      </c>
      <c r="CP163" s="5">
        <v>-7.6067781811252705E-2</v>
      </c>
      <c r="CQ163" s="5">
        <v>0.120793536120729</v>
      </c>
      <c r="CR163" s="5">
        <v>-6.3900273524276893E-2</v>
      </c>
      <c r="CS163" s="5">
        <v>0.14680639972644199</v>
      </c>
      <c r="CT163" s="5">
        <v>-0.555730218157648</v>
      </c>
      <c r="CU163" s="5">
        <v>0.54317782491836897</v>
      </c>
      <c r="CV163" s="5">
        <v>-7.0516599015698705E-2</v>
      </c>
      <c r="CW163" s="5">
        <v>0.16865789951742499</v>
      </c>
      <c r="CX163" s="5">
        <v>0.14185902710402001</v>
      </c>
      <c r="CY163" s="5">
        <v>-4.0339588336956497E-3</v>
      </c>
      <c r="CZ163" s="5">
        <v>-8.4093205771715394E-3</v>
      </c>
      <c r="DA163" s="5">
        <v>0.15554819541848999</v>
      </c>
      <c r="DB163" s="5">
        <v>0.204907320936389</v>
      </c>
      <c r="DC163" s="5">
        <v>-3.6125201973783702E-2</v>
      </c>
      <c r="DD163" s="5">
        <v>-8.3866078310181502E-2</v>
      </c>
      <c r="DE163" s="5">
        <v>0.14626009723165501</v>
      </c>
      <c r="DF163" s="5">
        <v>0.14773293078717201</v>
      </c>
      <c r="DG163" s="5">
        <v>-5.8314486187806103E-2</v>
      </c>
      <c r="DH163" s="5">
        <v>-0.20748253089947499</v>
      </c>
      <c r="DI163" s="5">
        <v>0.27183006224163903</v>
      </c>
      <c r="DJ163" s="5">
        <v>-0.45336462696117902</v>
      </c>
      <c r="DK163" s="5">
        <v>0.40237539797683097</v>
      </c>
      <c r="DL163" s="5">
        <v>-0.116937340861545</v>
      </c>
      <c r="DM163" s="5">
        <v>0.19365825751993099</v>
      </c>
      <c r="DN163" s="5">
        <v>-0.38144455979863701</v>
      </c>
      <c r="DO163" s="5">
        <v>0.30462158206982098</v>
      </c>
      <c r="DP163" s="5">
        <v>5.5967357937521403E-2</v>
      </c>
      <c r="DQ163" s="5">
        <v>4.5202738437766302E-2</v>
      </c>
      <c r="DR163" s="5">
        <v>-0.50112962226206803</v>
      </c>
      <c r="DS163" s="5">
        <v>0.59668586675065804</v>
      </c>
      <c r="DT163" s="5">
        <v>2.9959015238934902E-2</v>
      </c>
      <c r="DU163" s="5">
        <v>3.08117041512115E-2</v>
      </c>
      <c r="DV163" s="5">
        <v>-5.2337448741027803E-2</v>
      </c>
      <c r="DW163" s="5">
        <v>0.155044803535936</v>
      </c>
      <c r="DX163" s="5">
        <v>-0.402354920855586</v>
      </c>
      <c r="DY163" s="5">
        <v>0.34534436662698997</v>
      </c>
      <c r="DZ163" s="5">
        <v>-0.38422597096057798</v>
      </c>
      <c r="EA163" s="5">
        <v>0.338026011043152</v>
      </c>
      <c r="EB163" s="5">
        <v>-3.1990692863080303E-2</v>
      </c>
      <c r="EC163" s="5">
        <v>0.122460218418756</v>
      </c>
      <c r="ED163" s="5">
        <v>-1.61874566092353E-2</v>
      </c>
      <c r="EE163" s="5">
        <v>0.11117896257622099</v>
      </c>
      <c r="EF163" s="5">
        <v>-8.0270259626520596E-2</v>
      </c>
      <c r="EG163" s="5">
        <v>0.16498853899350399</v>
      </c>
      <c r="EH163" s="5">
        <v>-3.0431708375193899E-2</v>
      </c>
      <c r="EI163" s="5">
        <v>0.15109010768144501</v>
      </c>
      <c r="EJ163" s="5">
        <v>-4.9746625568749599E-2</v>
      </c>
      <c r="EK163" s="5">
        <v>0.171874344424123</v>
      </c>
      <c r="EL163" s="5">
        <v>9.4170267233902996E-2</v>
      </c>
      <c r="EM163" s="5">
        <v>-7.0631656492680097E-3</v>
      </c>
      <c r="EN163" s="5">
        <v>-0.17080465939563799</v>
      </c>
      <c r="EO163" s="5">
        <v>0.238292529724316</v>
      </c>
      <c r="EP163" s="5">
        <v>-0.11010740346829501</v>
      </c>
      <c r="EQ163" s="5">
        <v>0.19470634990062999</v>
      </c>
      <c r="ER163" s="5">
        <v>6.5044915338819703E-2</v>
      </c>
      <c r="ES163" s="5">
        <v>8.1824503942309196E-2</v>
      </c>
      <c r="ET163" s="5">
        <v>0.103095440976505</v>
      </c>
      <c r="EU163" s="5">
        <v>6.0528281285744799E-2</v>
      </c>
      <c r="EV163" s="5">
        <v>0.141972875253641</v>
      </c>
      <c r="EW163" s="5">
        <v>3.85013328093761E-2</v>
      </c>
      <c r="EX163" s="5">
        <v>0.14065814270548199</v>
      </c>
      <c r="EY163" s="5">
        <v>5.6904490374728896E-3</v>
      </c>
      <c r="EZ163" s="5">
        <v>4.9799694333205198E-2</v>
      </c>
      <c r="FA163" s="5">
        <v>8.1356200597200098E-2</v>
      </c>
      <c r="FB163" s="5">
        <v>-0.68681294945397497</v>
      </c>
      <c r="FC163" s="5">
        <v>0.85525779801402202</v>
      </c>
      <c r="FD163" s="5">
        <v>-1.27594508950176E-2</v>
      </c>
      <c r="FE163" s="5">
        <v>0.11872324287002201</v>
      </c>
      <c r="FF163" s="5">
        <v>-0.85407631909151804</v>
      </c>
      <c r="FG163" s="5">
        <v>1</v>
      </c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</row>
    <row r="164" spans="1:389" x14ac:dyDescent="0.45">
      <c r="A164" s="4" t="str">
        <f ca="1">"IDN / beta1dist in "&amp;CELL("address",'damages-1990'!$J$83)</f>
        <v>IDN / beta1dist in '[BHM betas v3pd.xlsx]damages-1990'!$J$83</v>
      </c>
      <c r="B164" s="6">
        <v>0.17284464278374401</v>
      </c>
      <c r="C164" s="5">
        <v>0.33159205815780801</v>
      </c>
      <c r="D164" s="5">
        <v>0.42936059122414499</v>
      </c>
      <c r="E164" s="5">
        <v>0.16749416363425301</v>
      </c>
      <c r="F164" s="5">
        <v>0.14064517700592899</v>
      </c>
      <c r="G164" s="5">
        <v>0.148418702860343</v>
      </c>
      <c r="H164" s="5">
        <v>-0.18310890285991099</v>
      </c>
      <c r="I164" s="5">
        <v>0.115144432854263</v>
      </c>
      <c r="J164" s="5">
        <v>0.55313985975145397</v>
      </c>
      <c r="K164" s="5">
        <v>-3.8209667127663001E-2</v>
      </c>
      <c r="L164" s="5">
        <v>0.47590912957412301</v>
      </c>
      <c r="M164" s="5">
        <v>-4.7903865711218102E-2</v>
      </c>
      <c r="N164" s="5">
        <v>-0.144032367727875</v>
      </c>
      <c r="O164" s="5">
        <v>0.14820756080415001</v>
      </c>
      <c r="P164" s="5">
        <v>7.4591726639676406E-2</v>
      </c>
      <c r="Q164" s="5">
        <v>0.20111738907636201</v>
      </c>
      <c r="R164" s="5">
        <v>0.61279444081544798</v>
      </c>
      <c r="S164" s="5">
        <v>-6.1577235545788103E-2</v>
      </c>
      <c r="T164" s="5">
        <v>-0.19397450435907701</v>
      </c>
      <c r="U164" s="5">
        <v>0.20891755873937201</v>
      </c>
      <c r="V164" s="5">
        <v>0.20138931947710301</v>
      </c>
      <c r="W164" s="5">
        <v>0.26965155515608102</v>
      </c>
      <c r="X164" s="5">
        <v>0.35225719563966601</v>
      </c>
      <c r="Y164" s="5">
        <v>0.207066806538755</v>
      </c>
      <c r="Z164" s="5">
        <v>-7.3325516647324201E-2</v>
      </c>
      <c r="AA164" s="5">
        <v>0.19444269258638899</v>
      </c>
      <c r="AB164" s="5">
        <v>0.51765753491480004</v>
      </c>
      <c r="AC164" s="5">
        <v>-6.4021777812270295E-2</v>
      </c>
      <c r="AD164" s="5">
        <v>0.48116328812562098</v>
      </c>
      <c r="AE164" s="5">
        <v>7.7482697279105299E-3</v>
      </c>
      <c r="AF164" s="5">
        <v>0.41391621713954002</v>
      </c>
      <c r="AG164" s="5">
        <v>1.32456176675471E-2</v>
      </c>
      <c r="AH164" s="5">
        <v>3.6194548869934097E-2</v>
      </c>
      <c r="AI164" s="5">
        <v>0.19891498882213801</v>
      </c>
      <c r="AJ164" s="5">
        <v>0.49964953377259003</v>
      </c>
      <c r="AK164" s="5">
        <v>-9.8725089501726492E-3</v>
      </c>
      <c r="AL164" s="5">
        <v>0.50242137349469895</v>
      </c>
      <c r="AM164" s="5">
        <v>-0.250404610033445</v>
      </c>
      <c r="AN164" s="5">
        <v>-0.112601099380472</v>
      </c>
      <c r="AO164" s="5">
        <v>0.26167478105761199</v>
      </c>
      <c r="AP164" s="5">
        <v>-0.21447347431490099</v>
      </c>
      <c r="AQ164" s="5">
        <v>0.25157056532995198</v>
      </c>
      <c r="AR164" s="5">
        <v>0.63650007939317599</v>
      </c>
      <c r="AS164" s="5">
        <v>-0.25468345140454202</v>
      </c>
      <c r="AT164" s="5">
        <v>0.49094685977481101</v>
      </c>
      <c r="AU164" s="5">
        <v>-0.227551080339818</v>
      </c>
      <c r="AV164" s="5">
        <v>0.70848351858890901</v>
      </c>
      <c r="AW164" s="5">
        <v>-0.21097944277279401</v>
      </c>
      <c r="AX164" s="5">
        <v>0.69152634805275304</v>
      </c>
      <c r="AY164" s="5">
        <v>-0.184796531614735</v>
      </c>
      <c r="AZ164" s="5">
        <v>0.24507372660780899</v>
      </c>
      <c r="BA164" s="5">
        <v>1.40291909828549E-2</v>
      </c>
      <c r="BB164" s="5">
        <v>0.65497381085351802</v>
      </c>
      <c r="BC164" s="5">
        <v>-9.23015046398135E-2</v>
      </c>
      <c r="BD164" s="5">
        <v>3.7280777623994302E-2</v>
      </c>
      <c r="BE164" s="5">
        <v>0.41291548595667299</v>
      </c>
      <c r="BF164" s="5">
        <v>0.47036583509213598</v>
      </c>
      <c r="BG164" s="5">
        <v>-1.18974350322303E-2</v>
      </c>
      <c r="BH164" s="5">
        <v>0.56965807152099002</v>
      </c>
      <c r="BI164" s="5">
        <v>-3.1032231986867199E-2</v>
      </c>
      <c r="BJ164" s="5">
        <v>-0.41008911709367601</v>
      </c>
      <c r="BK164" s="5">
        <v>0.218551291550139</v>
      </c>
      <c r="BL164" s="5">
        <v>-0.168898587585042</v>
      </c>
      <c r="BM164" s="5">
        <v>0.13960120562758899</v>
      </c>
      <c r="BN164" s="5">
        <v>-0.239831628893064</v>
      </c>
      <c r="BO164" s="5">
        <v>0.340284634195122</v>
      </c>
      <c r="BP164" s="5">
        <v>-0.25282996038023497</v>
      </c>
      <c r="BQ164" s="5">
        <v>0.36959218205243</v>
      </c>
      <c r="BR164" s="5">
        <v>0.45225872498286901</v>
      </c>
      <c r="BS164" s="5">
        <v>1.6837848285397101E-2</v>
      </c>
      <c r="BT164" s="5">
        <v>0.67984523873186298</v>
      </c>
      <c r="BU164" s="5">
        <v>-0.137469799011987</v>
      </c>
      <c r="BV164" s="5">
        <v>0.52537320068528004</v>
      </c>
      <c r="BW164" s="5">
        <v>3.9552292044056303E-2</v>
      </c>
      <c r="BX164" s="5">
        <v>0.57792112545225904</v>
      </c>
      <c r="BY164" s="5">
        <v>-8.8893749099886496E-2</v>
      </c>
      <c r="BZ164" s="5">
        <v>0.59736024815925204</v>
      </c>
      <c r="CA164" s="5">
        <v>-7.8033910611715898E-2</v>
      </c>
      <c r="CB164" s="5">
        <v>0.45818391466594899</v>
      </c>
      <c r="CC164" s="5">
        <v>-0.13872111440486201</v>
      </c>
      <c r="CD164" s="5">
        <v>0.120163461624182</v>
      </c>
      <c r="CE164" s="5">
        <v>0.21378767898783099</v>
      </c>
      <c r="CF164" s="5">
        <v>0.381622944159</v>
      </c>
      <c r="CG164" s="5">
        <v>-4.1899136226790201E-2</v>
      </c>
      <c r="CH164" s="5">
        <v>0.52039899276923296</v>
      </c>
      <c r="CI164" s="5">
        <v>-0.287247785112206</v>
      </c>
      <c r="CJ164" s="5">
        <v>0.28569478188757302</v>
      </c>
      <c r="CK164" s="5">
        <v>-1.16963359259499E-3</v>
      </c>
      <c r="CL164" s="5">
        <v>-0.13271423414789199</v>
      </c>
      <c r="CM164" s="5">
        <v>0.20217048421014</v>
      </c>
      <c r="CN164" s="5">
        <v>-0.10832611263952199</v>
      </c>
      <c r="CO164" s="5">
        <v>0.203292224533657</v>
      </c>
      <c r="CP164" s="5">
        <v>0.323680652350613</v>
      </c>
      <c r="CQ164" s="5">
        <v>6.0458245313738897E-2</v>
      </c>
      <c r="CR164" s="5">
        <v>0.13672672552654999</v>
      </c>
      <c r="CS164" s="5">
        <v>0.14827284159760801</v>
      </c>
      <c r="CT164" s="5">
        <v>-0.14968945488205601</v>
      </c>
      <c r="CU164" s="5">
        <v>0.17920850735080901</v>
      </c>
      <c r="CV164" s="5">
        <v>0.34052112987931099</v>
      </c>
      <c r="CW164" s="5">
        <v>-5.0956912207358301E-3</v>
      </c>
      <c r="CX164" s="5">
        <v>0.57853350489606203</v>
      </c>
      <c r="CY164" s="5">
        <v>-7.7095661128753407E-2</v>
      </c>
      <c r="CZ164" s="5">
        <v>0.49009695519906599</v>
      </c>
      <c r="DA164" s="5">
        <v>-1.3236926958255501E-2</v>
      </c>
      <c r="DB164" s="5">
        <v>0.47532004703888198</v>
      </c>
      <c r="DC164" s="5">
        <v>5.7807898222850103E-2</v>
      </c>
      <c r="DD164" s="5">
        <v>0.38061681329654201</v>
      </c>
      <c r="DE164" s="5">
        <v>5.8218312583681098E-2</v>
      </c>
      <c r="DF164" s="5">
        <v>0.367202364262184</v>
      </c>
      <c r="DG164" s="5">
        <v>8.5078685199762805E-2</v>
      </c>
      <c r="DH164" s="5">
        <v>0.21644774719179399</v>
      </c>
      <c r="DI164" s="5">
        <v>0.19234313052881499</v>
      </c>
      <c r="DJ164" s="5">
        <v>-0.26764093723488203</v>
      </c>
      <c r="DK164" s="5">
        <v>0.26485394200884999</v>
      </c>
      <c r="DL164" s="5">
        <v>0.38237121115850797</v>
      </c>
      <c r="DM164" s="5">
        <v>0.14881641390890701</v>
      </c>
      <c r="DN164" s="5">
        <v>-0.34893260392092801</v>
      </c>
      <c r="DO164" s="5">
        <v>0.26834387282331701</v>
      </c>
      <c r="DP164" s="5">
        <v>0.58263113752688001</v>
      </c>
      <c r="DQ164" s="5">
        <v>-0.25416852026238002</v>
      </c>
      <c r="DR164" s="5">
        <v>2.7296731030826499E-2</v>
      </c>
      <c r="DS164" s="5">
        <v>0.20020380585754399</v>
      </c>
      <c r="DT164" s="5">
        <v>0.38188397806938701</v>
      </c>
      <c r="DU164" s="5">
        <v>-0.13375544681222601</v>
      </c>
      <c r="DV164" s="5">
        <v>0.45132381231826901</v>
      </c>
      <c r="DW164" s="5">
        <v>-3.4329263006160897E-2</v>
      </c>
      <c r="DX164" s="5">
        <v>-0.16763512297173599</v>
      </c>
      <c r="DY164" s="5">
        <v>0.21109379481528401</v>
      </c>
      <c r="DZ164" s="5">
        <v>-0.123440269427152</v>
      </c>
      <c r="EA164" s="5">
        <v>0.16998790877954501</v>
      </c>
      <c r="EB164" s="5">
        <v>0.52229856892476401</v>
      </c>
      <c r="EC164" s="5">
        <v>-3.0337523644414301E-2</v>
      </c>
      <c r="ED164" s="5">
        <v>0.51508839005659102</v>
      </c>
      <c r="EE164" s="5">
        <v>1.6663701970477101E-2</v>
      </c>
      <c r="EF164" s="5">
        <v>8.6887603502004807E-2</v>
      </c>
      <c r="EG164" s="5">
        <v>0.181616375406988</v>
      </c>
      <c r="EH164" s="5">
        <v>0.45321269157715199</v>
      </c>
      <c r="EI164" s="5">
        <v>8.3572470559925005E-2</v>
      </c>
      <c r="EJ164" s="5">
        <v>0.42845429873889201</v>
      </c>
      <c r="EK164" s="5">
        <v>0.116778766630035</v>
      </c>
      <c r="EL164" s="5">
        <v>0.64208270038445403</v>
      </c>
      <c r="EM164" s="5">
        <v>-0.17264739010618799</v>
      </c>
      <c r="EN164" s="5">
        <v>0.39789337908889399</v>
      </c>
      <c r="EO164" s="5">
        <v>-0.118835285292142</v>
      </c>
      <c r="EP164" s="5">
        <v>0.33194612846785598</v>
      </c>
      <c r="EQ164" s="5">
        <v>-5.1379693306284203E-2</v>
      </c>
      <c r="ER164" s="5">
        <v>0.64277205606602505</v>
      </c>
      <c r="ES164" s="5">
        <v>-0.18349121825353301</v>
      </c>
      <c r="ET164" s="5">
        <v>0.395546287749585</v>
      </c>
      <c r="EU164" s="5">
        <v>-2.4585806165402899E-3</v>
      </c>
      <c r="EV164" s="5">
        <v>0.458282789718921</v>
      </c>
      <c r="EW164" s="5">
        <v>-6.0289844197685502E-2</v>
      </c>
      <c r="EX164" s="5">
        <v>0.43517875483102297</v>
      </c>
      <c r="EY164" s="5">
        <v>-0.114377089575362</v>
      </c>
      <c r="EZ164" s="5">
        <v>0.59526337197742096</v>
      </c>
      <c r="FA164" s="5">
        <v>-0.13249727020798899</v>
      </c>
      <c r="FB164" s="5">
        <v>5.2919690784352602E-2</v>
      </c>
      <c r="FC164" s="5">
        <v>0.193000960394072</v>
      </c>
      <c r="FD164" s="5">
        <v>0.39361642369234501</v>
      </c>
      <c r="FE164" s="5">
        <v>-3.6529546843736702E-2</v>
      </c>
      <c r="FF164" s="5">
        <v>3.8119387287532699E-3</v>
      </c>
      <c r="FG164" s="5">
        <v>0.185592938827742</v>
      </c>
      <c r="FH164" s="5">
        <v>1</v>
      </c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</row>
    <row r="165" spans="1:389" x14ac:dyDescent="0.45">
      <c r="A165" s="4" t="str">
        <f ca="1">"IDN / beta2dist in "&amp;CELL("address",'damages-1990'!$K$83)</f>
        <v>IDN / beta2dist in '[BHM betas v3pd.xlsx]damages-1990'!$K$83</v>
      </c>
      <c r="B165" s="6">
        <v>-7.5970204532895699E-2</v>
      </c>
      <c r="C165" s="5">
        <v>-8.0732606306986504E-2</v>
      </c>
      <c r="D165" s="5">
        <v>-8.2523862195555006E-2</v>
      </c>
      <c r="E165" s="5">
        <v>-0.119261691632167</v>
      </c>
      <c r="F165" s="5">
        <v>-3.7958665138915701E-2</v>
      </c>
      <c r="G165" s="5">
        <v>-4.9132807809932399E-2</v>
      </c>
      <c r="H165" s="5">
        <v>0.178201350711682</v>
      </c>
      <c r="I165" s="5">
        <v>-0.188555857630027</v>
      </c>
      <c r="J165" s="5">
        <v>-0.35914678942913503</v>
      </c>
      <c r="K165" s="5">
        <v>0.220162912811113</v>
      </c>
      <c r="L165" s="5">
        <v>-0.29072787173629899</v>
      </c>
      <c r="M165" s="5">
        <v>0.18922977701037899</v>
      </c>
      <c r="N165" s="5">
        <v>0.16004114540064099</v>
      </c>
      <c r="O165" s="5">
        <v>-0.189682683211542</v>
      </c>
      <c r="P165" s="5">
        <v>2.6203185882401801E-2</v>
      </c>
      <c r="Q165" s="5">
        <v>-5.7900385060418801E-2</v>
      </c>
      <c r="R165" s="5">
        <v>-0.35672218559802099</v>
      </c>
      <c r="S165" s="5">
        <v>0.16639979852477799</v>
      </c>
      <c r="T165" s="5">
        <v>0.16769362242245001</v>
      </c>
      <c r="U165" s="5">
        <v>-0.21106999818309699</v>
      </c>
      <c r="V165" s="5">
        <v>-3.37445971869971E-2</v>
      </c>
      <c r="W165" s="5">
        <v>-0.15850303616400399</v>
      </c>
      <c r="X165" s="5">
        <v>3.3332013457689001E-3</v>
      </c>
      <c r="Y165" s="5">
        <v>-0.19827944965203601</v>
      </c>
      <c r="Z165" s="5">
        <v>0.110728624404118</v>
      </c>
      <c r="AA165" s="5">
        <v>-0.168330135351519</v>
      </c>
      <c r="AB165" s="5">
        <v>-0.30985175679028298</v>
      </c>
      <c r="AC165" s="5">
        <v>0.22015239661050701</v>
      </c>
      <c r="AD165" s="5">
        <v>-0.33667201665783902</v>
      </c>
      <c r="AE165" s="5">
        <v>0.217137093274863</v>
      </c>
      <c r="AF165" s="5">
        <v>-0.28678943173222399</v>
      </c>
      <c r="AG165" s="5">
        <v>0.196077424137441</v>
      </c>
      <c r="AH165" s="5">
        <v>7.6615418225074103E-2</v>
      </c>
      <c r="AI165" s="5">
        <v>-0.15807088081404</v>
      </c>
      <c r="AJ165" s="5">
        <v>-0.37361181333619098</v>
      </c>
      <c r="AK165" s="5">
        <v>0.22663337390603899</v>
      </c>
      <c r="AL165" s="5">
        <v>-0.21009233778650699</v>
      </c>
      <c r="AM165" s="5">
        <v>0.13964691514772501</v>
      </c>
      <c r="AN165" s="5">
        <v>0.15795383559241999</v>
      </c>
      <c r="AO165" s="5">
        <v>-0.23290169588345899</v>
      </c>
      <c r="AP165" s="5">
        <v>0.107511227856718</v>
      </c>
      <c r="AQ165" s="5">
        <v>-0.144453119403404</v>
      </c>
      <c r="AR165" s="5">
        <v>-0.47017170303192102</v>
      </c>
      <c r="AS165" s="5">
        <v>0.40247283525809202</v>
      </c>
      <c r="AT165" s="5">
        <v>-0.288199132342425</v>
      </c>
      <c r="AU165" s="5">
        <v>0.19909064157803499</v>
      </c>
      <c r="AV165" s="5">
        <v>-0.475873967069395</v>
      </c>
      <c r="AW165" s="5">
        <v>0.38691191860472202</v>
      </c>
      <c r="AX165" s="5">
        <v>-0.46017819550817302</v>
      </c>
      <c r="AY165" s="5">
        <v>0.34142693063026403</v>
      </c>
      <c r="AZ165" s="5">
        <v>-0.20557830083582501</v>
      </c>
      <c r="BA165" s="5">
        <v>0.191602796589007</v>
      </c>
      <c r="BB165" s="5">
        <v>-0.453782912662336</v>
      </c>
      <c r="BC165" s="5">
        <v>0.305939255170941</v>
      </c>
      <c r="BD165" s="5">
        <v>-3.3687382119360898E-3</v>
      </c>
      <c r="BE165" s="5">
        <v>-0.15403433142235401</v>
      </c>
      <c r="BF165" s="5">
        <v>-0.24163569924108799</v>
      </c>
      <c r="BG165" s="5">
        <v>9.6190468035794993E-2</v>
      </c>
      <c r="BH165" s="5">
        <v>-0.32278062569150801</v>
      </c>
      <c r="BI165" s="5">
        <v>0.20652202042828799</v>
      </c>
      <c r="BJ165" s="5">
        <v>0.222464774495925</v>
      </c>
      <c r="BK165" s="5">
        <v>-0.221282691818253</v>
      </c>
      <c r="BL165" s="5">
        <v>0.110382172887296</v>
      </c>
      <c r="BM165" s="5">
        <v>-0.13744394300234</v>
      </c>
      <c r="BN165" s="5">
        <v>0.25068407321439201</v>
      </c>
      <c r="BO165" s="5">
        <v>-0.33752903225978798</v>
      </c>
      <c r="BP165" s="5">
        <v>0.21848194524015299</v>
      </c>
      <c r="BQ165" s="5">
        <v>-0.336293049328305</v>
      </c>
      <c r="BR165" s="5">
        <v>-0.295571822584896</v>
      </c>
      <c r="BS165" s="5">
        <v>0.19047478832031001</v>
      </c>
      <c r="BT165" s="5">
        <v>-0.44562622708889099</v>
      </c>
      <c r="BU165" s="5">
        <v>0.33663952853061502</v>
      </c>
      <c r="BV165" s="5">
        <v>-0.221263923376361</v>
      </c>
      <c r="BW165" s="5">
        <v>6.4077196132207803E-2</v>
      </c>
      <c r="BX165" s="5">
        <v>-0.31568264953915598</v>
      </c>
      <c r="BY165" s="5">
        <v>0.213668052811298</v>
      </c>
      <c r="BZ165" s="5">
        <v>-0.37429435915030901</v>
      </c>
      <c r="CA165" s="5">
        <v>0.21506308900625401</v>
      </c>
      <c r="CB165" s="5">
        <v>-0.21537618657951199</v>
      </c>
      <c r="CC165" s="5">
        <v>0.18203104278238</v>
      </c>
      <c r="CD165" s="5">
        <v>1.74503067262737E-2</v>
      </c>
      <c r="CE165" s="5">
        <v>-0.14175227573424001</v>
      </c>
      <c r="CF165" s="5">
        <v>-0.25237615378246298</v>
      </c>
      <c r="CG165" s="5">
        <v>0.180020640290806</v>
      </c>
      <c r="CH165" s="5">
        <v>-0.228408883480861</v>
      </c>
      <c r="CI165" s="5">
        <v>0.173475827806642</v>
      </c>
      <c r="CJ165" s="5">
        <v>-0.17695597187401499</v>
      </c>
      <c r="CK165" s="5">
        <v>0.103191297764229</v>
      </c>
      <c r="CL165" s="5">
        <v>0.14461805641765499</v>
      </c>
      <c r="CM165" s="5">
        <v>-0.208614151170296</v>
      </c>
      <c r="CN165" s="5">
        <v>0.13459021220754</v>
      </c>
      <c r="CO165" s="5">
        <v>-0.203076507357564</v>
      </c>
      <c r="CP165" s="5">
        <v>-0.32516829540139902</v>
      </c>
      <c r="CQ165" s="5">
        <v>0.217818345285264</v>
      </c>
      <c r="CR165" s="5">
        <v>-3.7856451854665803E-2</v>
      </c>
      <c r="CS165" s="5">
        <v>1.9597353927047399E-2</v>
      </c>
      <c r="CT165" s="5">
        <v>0.16671759576074199</v>
      </c>
      <c r="CU165" s="5">
        <v>-0.19002264564156399</v>
      </c>
      <c r="CV165" s="5">
        <v>-0.16283190485847901</v>
      </c>
      <c r="CW165" s="5">
        <v>8.7935624241923804E-2</v>
      </c>
      <c r="CX165" s="5">
        <v>-0.44421996649381401</v>
      </c>
      <c r="CY165" s="5">
        <v>0.31193666115705199</v>
      </c>
      <c r="CZ165" s="5">
        <v>-0.21950651832608201</v>
      </c>
      <c r="DA165" s="5">
        <v>4.9470337660121898E-2</v>
      </c>
      <c r="DB165" s="5">
        <v>-0.21609923064551201</v>
      </c>
      <c r="DC165" s="5">
        <v>2.9220070653241E-2</v>
      </c>
      <c r="DD165" s="5">
        <v>-0.35269818579520301</v>
      </c>
      <c r="DE165" s="5">
        <v>0.25087854253340502</v>
      </c>
      <c r="DF165" s="5">
        <v>-0.22588088509471099</v>
      </c>
      <c r="DG165" s="5">
        <v>9.0209238520722698E-2</v>
      </c>
      <c r="DH165" s="5">
        <v>-0.11827043289457401</v>
      </c>
      <c r="DI165" s="5">
        <v>-6.0614694498485498E-3</v>
      </c>
      <c r="DJ165" s="5">
        <v>0.15775378689872399</v>
      </c>
      <c r="DK165" s="5">
        <v>-0.181765344208588</v>
      </c>
      <c r="DL165" s="5">
        <v>-0.17179077044289501</v>
      </c>
      <c r="DM165" s="5">
        <v>4.5159133252668598E-2</v>
      </c>
      <c r="DN165" s="5">
        <v>0.196499743887246</v>
      </c>
      <c r="DO165" s="5">
        <v>-0.187460307754207</v>
      </c>
      <c r="DP165" s="5">
        <v>-0.33290241187386399</v>
      </c>
      <c r="DQ165" s="5">
        <v>0.27952280600085999</v>
      </c>
      <c r="DR165" s="5">
        <v>3.7720616369906597E-2</v>
      </c>
      <c r="DS165" s="5">
        <v>-0.116891664763747</v>
      </c>
      <c r="DT165" s="5">
        <v>-0.43546810252680102</v>
      </c>
      <c r="DU165" s="5">
        <v>0.38073150856455601</v>
      </c>
      <c r="DV165" s="5">
        <v>-0.19725745019007701</v>
      </c>
      <c r="DW165" s="5">
        <v>0.10049018493577801</v>
      </c>
      <c r="DX165" s="5">
        <v>0.13822450825698401</v>
      </c>
      <c r="DY165" s="5">
        <v>-0.14847489888735599</v>
      </c>
      <c r="DZ165" s="5">
        <v>0.141671952344921</v>
      </c>
      <c r="EA165" s="5">
        <v>-0.18531471753655901</v>
      </c>
      <c r="EB165" s="5">
        <v>-0.36067395081491199</v>
      </c>
      <c r="EC165" s="5">
        <v>0.23171722374548101</v>
      </c>
      <c r="ED165" s="5">
        <v>-0.29490723994886098</v>
      </c>
      <c r="EE165" s="5">
        <v>0.15272173169505199</v>
      </c>
      <c r="EF165" s="5">
        <v>-2.3017738800729E-3</v>
      </c>
      <c r="EG165" s="5">
        <v>-2.26695628466114E-2</v>
      </c>
      <c r="EH165" s="5">
        <v>-0.21148278011278401</v>
      </c>
      <c r="EI165" s="5">
        <v>6.8136155569623505E-2</v>
      </c>
      <c r="EJ165" s="5">
        <v>-0.16493033726364201</v>
      </c>
      <c r="EK165" s="5">
        <v>9.7937444048692597E-3</v>
      </c>
      <c r="EL165" s="5">
        <v>-0.38379106349946801</v>
      </c>
      <c r="EM165" s="5">
        <v>0.28924248202270397</v>
      </c>
      <c r="EN165" s="5">
        <v>-0.26864067985046097</v>
      </c>
      <c r="EO165" s="5">
        <v>0.21165557941843399</v>
      </c>
      <c r="EP165" s="5">
        <v>-0.28610950240508298</v>
      </c>
      <c r="EQ165" s="5">
        <v>0.24357843503395801</v>
      </c>
      <c r="ER165" s="5">
        <v>-0.47380057934353897</v>
      </c>
      <c r="ES165" s="5">
        <v>0.35822565188051098</v>
      </c>
      <c r="ET165" s="5">
        <v>-0.104925067356698</v>
      </c>
      <c r="EU165" s="5">
        <v>2.0873503245094301E-2</v>
      </c>
      <c r="EV165" s="5">
        <v>-0.29359277420477398</v>
      </c>
      <c r="EW165" s="5">
        <v>0.211982795533772</v>
      </c>
      <c r="EX165" s="5">
        <v>-0.20154865656975901</v>
      </c>
      <c r="EY165" s="5">
        <v>0.16873409095264</v>
      </c>
      <c r="EZ165" s="5">
        <v>-0.45783536930825802</v>
      </c>
      <c r="FA165" s="5">
        <v>0.35264332745209098</v>
      </c>
      <c r="FB165" s="5">
        <v>3.2354868174767903E-2</v>
      </c>
      <c r="FC165" s="5">
        <v>-0.108715282119505</v>
      </c>
      <c r="FD165" s="5">
        <v>-0.14627260162766501</v>
      </c>
      <c r="FE165" s="5">
        <v>6.7415260615901904E-2</v>
      </c>
      <c r="FF165" s="5">
        <v>7.5363345020889094E-2</v>
      </c>
      <c r="FG165" s="5">
        <v>-0.133719602775666</v>
      </c>
      <c r="FH165" s="5">
        <v>-0.782121218576458</v>
      </c>
      <c r="FI165" s="5">
        <v>1</v>
      </c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</row>
    <row r="166" spans="1:389" x14ac:dyDescent="0.45">
      <c r="A166" s="4" t="str">
        <f ca="1">"IND / beta1dist in "&amp;CELL("address",'damages-1990'!$J$84)</f>
        <v>IND / beta1dist in '[BHM betas v3pd.xlsx]damages-1990'!$J$84</v>
      </c>
      <c r="B166" s="6">
        <v>0.36076167963935901</v>
      </c>
      <c r="C166" s="5">
        <v>-1.5857884952832101E-2</v>
      </c>
      <c r="D166" s="5">
        <v>0.559342746670352</v>
      </c>
      <c r="E166" s="5">
        <v>-0.26140978542624799</v>
      </c>
      <c r="F166" s="5">
        <v>0.16805328520650401</v>
      </c>
      <c r="G166" s="5">
        <v>0.14901002231379401</v>
      </c>
      <c r="H166" s="5">
        <v>-6.1197885372710703E-2</v>
      </c>
      <c r="I166" s="5">
        <v>4.57335131304158E-2</v>
      </c>
      <c r="J166" s="5">
        <v>0.49102344992244501</v>
      </c>
      <c r="K166" s="5">
        <v>-0.169800341690136</v>
      </c>
      <c r="L166" s="5">
        <v>0.52587934574908002</v>
      </c>
      <c r="M166" s="5">
        <v>-0.223738030930621</v>
      </c>
      <c r="N166" s="5">
        <v>1.0520151428050401E-2</v>
      </c>
      <c r="O166" s="5">
        <v>3.5509148613568499E-2</v>
      </c>
      <c r="P166" s="5">
        <v>0.34087626828377998</v>
      </c>
      <c r="Q166" s="5">
        <v>-0.13291859678988799</v>
      </c>
      <c r="R166" s="5">
        <v>0.49951133721367302</v>
      </c>
      <c r="S166" s="5">
        <v>-0.19425509105569799</v>
      </c>
      <c r="T166" s="5">
        <v>5.1986763982200902E-2</v>
      </c>
      <c r="U166" s="5">
        <v>-4.9111464776101503E-2</v>
      </c>
      <c r="V166" s="5">
        <v>0.241288844163113</v>
      </c>
      <c r="W166" s="5">
        <v>0.178671566269685</v>
      </c>
      <c r="X166" s="5">
        <v>0.48650131722732698</v>
      </c>
      <c r="Y166" s="5">
        <v>-0.16675901430627099</v>
      </c>
      <c r="Z166" s="5">
        <v>0.13197547498146001</v>
      </c>
      <c r="AA166" s="5">
        <v>-4.0245808819347202E-2</v>
      </c>
      <c r="AB166" s="5">
        <v>0.48910917948412203</v>
      </c>
      <c r="AC166" s="5">
        <v>-0.327637915646601</v>
      </c>
      <c r="AD166" s="5">
        <v>0.48884845509767799</v>
      </c>
      <c r="AE166" s="5">
        <v>-0.261505885704575</v>
      </c>
      <c r="AF166" s="5">
        <v>0.58812071363674401</v>
      </c>
      <c r="AG166" s="5">
        <v>-0.38916553141674798</v>
      </c>
      <c r="AH166" s="5">
        <v>0.14460024083548001</v>
      </c>
      <c r="AI166" s="5">
        <v>0.114755048693666</v>
      </c>
      <c r="AJ166" s="5">
        <v>0.43015231792862102</v>
      </c>
      <c r="AK166" s="5">
        <v>-0.128293932016389</v>
      </c>
      <c r="AL166" s="5">
        <v>0.168776015082157</v>
      </c>
      <c r="AM166" s="5">
        <v>6.3594750376427395E-2</v>
      </c>
      <c r="AN166" s="5">
        <v>0.117040841864645</v>
      </c>
      <c r="AO166" s="5">
        <v>2.9134632334971999E-2</v>
      </c>
      <c r="AP166" s="5">
        <v>-2.8253478862237402E-2</v>
      </c>
      <c r="AQ166" s="5">
        <v>5.4838827105139702E-2</v>
      </c>
      <c r="AR166" s="5">
        <v>0.31979775260257298</v>
      </c>
      <c r="AS166" s="5">
        <v>-6.7567951297009196E-2</v>
      </c>
      <c r="AT166" s="5">
        <v>0.23050785953984601</v>
      </c>
      <c r="AU166" s="5">
        <v>-7.7051211368726696E-2</v>
      </c>
      <c r="AV166" s="5">
        <v>0.51120085567492102</v>
      </c>
      <c r="AW166" s="5">
        <v>-0.24157329282679399</v>
      </c>
      <c r="AX166" s="5">
        <v>0.49392336531279302</v>
      </c>
      <c r="AY166" s="5">
        <v>-0.223020724998094</v>
      </c>
      <c r="AZ166" s="5">
        <v>0.42219690023602902</v>
      </c>
      <c r="BA166" s="5">
        <v>-0.23431698901256001</v>
      </c>
      <c r="BB166" s="5">
        <v>0.36961476903583301</v>
      </c>
      <c r="BC166" s="5">
        <v>-5.2751933597856203E-2</v>
      </c>
      <c r="BD166" s="5">
        <v>0.185506959027186</v>
      </c>
      <c r="BE166" s="5">
        <v>0.18717007077318201</v>
      </c>
      <c r="BF166" s="5">
        <v>0.42772205552887299</v>
      </c>
      <c r="BG166" s="5">
        <v>-0.20811633935645901</v>
      </c>
      <c r="BH166" s="5">
        <v>0.56088825125840303</v>
      </c>
      <c r="BI166" s="5">
        <v>-0.31333531254438302</v>
      </c>
      <c r="BJ166" s="5">
        <v>-0.26160789750612701</v>
      </c>
      <c r="BK166" s="5">
        <v>0.16778065007128201</v>
      </c>
      <c r="BL166" s="5">
        <v>4.5477687567577897E-2</v>
      </c>
      <c r="BM166" s="5">
        <v>-6.2085768822867198E-2</v>
      </c>
      <c r="BN166" s="5">
        <v>-8.0080906380034206E-2</v>
      </c>
      <c r="BO166" s="5">
        <v>0.256385561285495</v>
      </c>
      <c r="BP166" s="5">
        <v>-0.15251222209686799</v>
      </c>
      <c r="BQ166" s="5">
        <v>0.35717603585694402</v>
      </c>
      <c r="BR166" s="5">
        <v>0.419354221698785</v>
      </c>
      <c r="BS166" s="5">
        <v>-0.21408113826072001</v>
      </c>
      <c r="BT166" s="5">
        <v>0.52179501571773501</v>
      </c>
      <c r="BU166" s="5">
        <v>-0.27597397772774301</v>
      </c>
      <c r="BV166" s="5">
        <v>0.46964499850151298</v>
      </c>
      <c r="BW166" s="5">
        <v>-0.17321090103759401</v>
      </c>
      <c r="BX166" s="5">
        <v>0.463577092983814</v>
      </c>
      <c r="BY166" s="5">
        <v>-0.22268644844663599</v>
      </c>
      <c r="BZ166" s="5">
        <v>0.49522005083700499</v>
      </c>
      <c r="CA166" s="5">
        <v>-0.24254908299786199</v>
      </c>
      <c r="CB166" s="5">
        <v>0.25908200935596698</v>
      </c>
      <c r="CC166" s="5">
        <v>-4.7386938736112501E-2</v>
      </c>
      <c r="CD166" s="5">
        <v>0.38274485618058302</v>
      </c>
      <c r="CE166" s="5">
        <v>-0.24287147720366101</v>
      </c>
      <c r="CF166" s="5">
        <v>0.41032813013047498</v>
      </c>
      <c r="CG166" s="5">
        <v>-0.229874819318446</v>
      </c>
      <c r="CH166" s="5">
        <v>0.15661330565737899</v>
      </c>
      <c r="CI166" s="5">
        <v>3.3750468788454502E-2</v>
      </c>
      <c r="CJ166" s="5">
        <v>4.7003556284645302E-2</v>
      </c>
      <c r="CK166" s="5">
        <v>0.27279410862862902</v>
      </c>
      <c r="CL166" s="5">
        <v>5.2180912766047097E-2</v>
      </c>
      <c r="CM166" s="5">
        <v>-7.3250550287332497E-3</v>
      </c>
      <c r="CN166" s="5">
        <v>7.0902337909374599E-2</v>
      </c>
      <c r="CO166" s="5">
        <v>2.8661018198436702E-3</v>
      </c>
      <c r="CP166" s="5">
        <v>0.42861669809869901</v>
      </c>
      <c r="CQ166" s="5">
        <v>-0.21273150467172</v>
      </c>
      <c r="CR166" s="5">
        <v>0.31369072831088701</v>
      </c>
      <c r="CS166" s="5">
        <v>-9.0242533618936693E-2</v>
      </c>
      <c r="CT166" s="5">
        <v>4.7418727223901502E-2</v>
      </c>
      <c r="CU166" s="5">
        <v>-2.4406363344205099E-2</v>
      </c>
      <c r="CV166" s="5">
        <v>0.30070905036970802</v>
      </c>
      <c r="CW166" s="5">
        <v>-6.8218878246742706E-2</v>
      </c>
      <c r="CX166" s="5">
        <v>0.57504717818374496</v>
      </c>
      <c r="CY166" s="5">
        <v>-0.30342533494740398</v>
      </c>
      <c r="CZ166" s="5">
        <v>0.46702685172014602</v>
      </c>
      <c r="DA166" s="5">
        <v>-0.23072416883375799</v>
      </c>
      <c r="DB166" s="5">
        <v>0.49999204306436701</v>
      </c>
      <c r="DC166" s="5">
        <v>-0.132898747490028</v>
      </c>
      <c r="DD166" s="5">
        <v>0.45220209884969698</v>
      </c>
      <c r="DE166" s="5">
        <v>-0.19919539547089701</v>
      </c>
      <c r="DF166" s="5">
        <v>0.48331738855956002</v>
      </c>
      <c r="DG166" s="5">
        <v>-0.24656371060401999</v>
      </c>
      <c r="DH166" s="5">
        <v>0.24215769935921</v>
      </c>
      <c r="DI166" s="5">
        <v>0.11496281804486</v>
      </c>
      <c r="DJ166" s="5">
        <v>-7.97909961746711E-2</v>
      </c>
      <c r="DK166" s="5">
        <v>8.5209457634783506E-2</v>
      </c>
      <c r="DL166" s="5">
        <v>0.42644921273950798</v>
      </c>
      <c r="DM166" s="5">
        <v>-0.14132386253944401</v>
      </c>
      <c r="DN166" s="5">
        <v>-0.139570185952795</v>
      </c>
      <c r="DO166" s="5">
        <v>8.8865296268998098E-2</v>
      </c>
      <c r="DP166" s="5">
        <v>0.34026703024788602</v>
      </c>
      <c r="DQ166" s="5">
        <v>-0.110603326967605</v>
      </c>
      <c r="DR166" s="5">
        <v>0.17500319476564499</v>
      </c>
      <c r="DS166" s="5">
        <v>1.7980093620213598E-2</v>
      </c>
      <c r="DT166" s="5">
        <v>0.26229814869159301</v>
      </c>
      <c r="DU166" s="5">
        <v>-0.10840582042362799</v>
      </c>
      <c r="DV166" s="5">
        <v>0.400351764788488</v>
      </c>
      <c r="DW166" s="5">
        <v>-0.20988577351251</v>
      </c>
      <c r="DX166" s="5">
        <v>7.7681518297342406E-2</v>
      </c>
      <c r="DY166" s="5">
        <v>-6.4111486362914902E-2</v>
      </c>
      <c r="DZ166" s="5">
        <v>0.121247286951502</v>
      </c>
      <c r="EA166" s="5">
        <v>-8.9155781571053694E-2</v>
      </c>
      <c r="EB166" s="5">
        <v>0.486602221832033</v>
      </c>
      <c r="EC166" s="5">
        <v>-0.260224161281852</v>
      </c>
      <c r="ED166" s="5">
        <v>0.60526329006761503</v>
      </c>
      <c r="EE166" s="5">
        <v>-0.34753213832104801</v>
      </c>
      <c r="EF166" s="5">
        <v>0.305447733276697</v>
      </c>
      <c r="EG166" s="5">
        <v>-9.5919426859582199E-2</v>
      </c>
      <c r="EH166" s="5">
        <v>0.49548772074764702</v>
      </c>
      <c r="EI166" s="5">
        <v>-0.24324908047473501</v>
      </c>
      <c r="EJ166" s="5">
        <v>0.52086413609635296</v>
      </c>
      <c r="EK166" s="5">
        <v>-0.26866982235228998</v>
      </c>
      <c r="EL166" s="5">
        <v>0.495999128680637</v>
      </c>
      <c r="EM166" s="5">
        <v>-0.28010793028877501</v>
      </c>
      <c r="EN166" s="5">
        <v>0.165500487710141</v>
      </c>
      <c r="EO166" s="5">
        <v>0.169335683545555</v>
      </c>
      <c r="EP166" s="5">
        <v>0.41752140050047798</v>
      </c>
      <c r="EQ166" s="5">
        <v>-0.22463145789870101</v>
      </c>
      <c r="ER166" s="5">
        <v>0.40793876965384701</v>
      </c>
      <c r="ES166" s="5">
        <v>-0.114831995488947</v>
      </c>
      <c r="ET166" s="5">
        <v>0.45829471136448702</v>
      </c>
      <c r="EU166" s="5">
        <v>-0.27125576344707403</v>
      </c>
      <c r="EV166" s="5">
        <v>0.482782117062245</v>
      </c>
      <c r="EW166" s="5">
        <v>-0.27630946121496802</v>
      </c>
      <c r="EX166" s="5">
        <v>0.44432376781809602</v>
      </c>
      <c r="EY166" s="5">
        <v>-0.31740812400938601</v>
      </c>
      <c r="EZ166" s="5">
        <v>0.37364255913029998</v>
      </c>
      <c r="FA166" s="5">
        <v>-0.10216933214776899</v>
      </c>
      <c r="FB166" s="5">
        <v>0.17403209997053501</v>
      </c>
      <c r="FC166" s="5">
        <v>7.0492570837171503E-2</v>
      </c>
      <c r="FD166" s="5">
        <v>0.25726001279611499</v>
      </c>
      <c r="FE166" s="5">
        <v>-5.7920467631504702E-3</v>
      </c>
      <c r="FF166" s="5">
        <v>0.126771485332975</v>
      </c>
      <c r="FG166" s="5">
        <v>7.7829578182255804E-2</v>
      </c>
      <c r="FH166" s="5">
        <v>0.45881753554569199</v>
      </c>
      <c r="FI166" s="5">
        <v>-0.23349199928862899</v>
      </c>
      <c r="FJ166" s="5">
        <v>1</v>
      </c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</row>
    <row r="167" spans="1:389" x14ac:dyDescent="0.45">
      <c r="A167" s="4" t="str">
        <f ca="1">"IND / beta2dist in "&amp;CELL("address",'damages-1990'!$K$84)</f>
        <v>IND / beta2dist in '[BHM betas v3pd.xlsx]damages-1990'!$K$84</v>
      </c>
      <c r="B167" s="6">
        <v>-0.220640249836841</v>
      </c>
      <c r="C167" s="5">
        <v>0.38153557910369701</v>
      </c>
      <c r="D167" s="5">
        <v>-0.17834254413784401</v>
      </c>
      <c r="E167" s="5">
        <v>0.431861882221172</v>
      </c>
      <c r="F167" s="5">
        <v>-1.9481820289100601E-2</v>
      </c>
      <c r="G167" s="5">
        <v>4.5345398274189803E-3</v>
      </c>
      <c r="H167" s="5">
        <v>-9.8074021207524703E-2</v>
      </c>
      <c r="I167" s="5">
        <v>4.47994542702937E-2</v>
      </c>
      <c r="J167" s="5">
        <v>-0.14949948805055999</v>
      </c>
      <c r="K167" s="5">
        <v>0.34460523228623302</v>
      </c>
      <c r="L167" s="5">
        <v>-0.188974446162856</v>
      </c>
      <c r="M167" s="5">
        <v>0.32681954864982299</v>
      </c>
      <c r="N167" s="5">
        <v>-3.08170071894154E-2</v>
      </c>
      <c r="O167" s="5">
        <v>-1.1422326629711099E-2</v>
      </c>
      <c r="P167" s="5">
        <v>-0.27454533326977798</v>
      </c>
      <c r="Q167" s="5">
        <v>0.36284215008095999</v>
      </c>
      <c r="R167" s="5">
        <v>-6.7902326128080795E-2</v>
      </c>
      <c r="S167" s="5">
        <v>0.287772951426218</v>
      </c>
      <c r="T167" s="5">
        <v>-0.22586163002058801</v>
      </c>
      <c r="U167" s="5">
        <v>0.23557553325951699</v>
      </c>
      <c r="V167" s="5">
        <v>6.7533172204306698E-4</v>
      </c>
      <c r="W167" s="5">
        <v>-1.2177822514041099E-3</v>
      </c>
      <c r="X167" s="5">
        <v>-0.12949091662562201</v>
      </c>
      <c r="Y167" s="5">
        <v>0.32897553086173298</v>
      </c>
      <c r="Z167" s="5">
        <v>-0.18297449329662399</v>
      </c>
      <c r="AA167" s="5">
        <v>0.22585945048221501</v>
      </c>
      <c r="AB167" s="5">
        <v>-0.203899137838815</v>
      </c>
      <c r="AC167" s="5">
        <v>0.49260455091104999</v>
      </c>
      <c r="AD167" s="5">
        <v>-0.26584283256297497</v>
      </c>
      <c r="AE167" s="5">
        <v>0.49850562576936203</v>
      </c>
      <c r="AF167" s="5">
        <v>-0.26931924013224601</v>
      </c>
      <c r="AG167" s="5">
        <v>0.51670963502894796</v>
      </c>
      <c r="AH167" s="5">
        <v>-5.0140994091801901E-2</v>
      </c>
      <c r="AI167" s="5">
        <v>3.7187031456330497E-2</v>
      </c>
      <c r="AJ167" s="5">
        <v>-0.14060609945323599</v>
      </c>
      <c r="AK167" s="5">
        <v>0.327336209626863</v>
      </c>
      <c r="AL167" s="5">
        <v>0.30273054192347598</v>
      </c>
      <c r="AM167" s="5">
        <v>-0.29173670049004802</v>
      </c>
      <c r="AN167" s="5">
        <v>-0.16544909415700401</v>
      </c>
      <c r="AO167" s="5">
        <v>0.170766775041856</v>
      </c>
      <c r="AP167" s="5">
        <v>-0.167090898773433</v>
      </c>
      <c r="AQ167" s="5">
        <v>0.17299237072818699</v>
      </c>
      <c r="AR167" s="5">
        <v>0.108783408523246</v>
      </c>
      <c r="AS167" s="5">
        <v>3.3109292602586202E-2</v>
      </c>
      <c r="AT167" s="5">
        <v>0.16549442182038801</v>
      </c>
      <c r="AU167" s="5">
        <v>-6.5842982309241002E-2</v>
      </c>
      <c r="AV167" s="5">
        <v>-1.8008841180812599E-2</v>
      </c>
      <c r="AW167" s="5">
        <v>0.27748379132502898</v>
      </c>
      <c r="AX167" s="5">
        <v>-2.4380022909248299E-2</v>
      </c>
      <c r="AY167" s="5">
        <v>0.274502813175802</v>
      </c>
      <c r="AZ167" s="5">
        <v>-0.32068184697000002</v>
      </c>
      <c r="BA167" s="5">
        <v>0.42071858288251901</v>
      </c>
      <c r="BB167" s="5">
        <v>4.3872838869585699E-2</v>
      </c>
      <c r="BC167" s="5">
        <v>0.18469597487351899</v>
      </c>
      <c r="BD167" s="5">
        <v>-0.13659487128164</v>
      </c>
      <c r="BE167" s="5">
        <v>0.200493593360411</v>
      </c>
      <c r="BF167" s="5">
        <v>-0.11718961029212401</v>
      </c>
      <c r="BG167" s="5">
        <v>0.347515253515779</v>
      </c>
      <c r="BH167" s="5">
        <v>-0.196107102641287</v>
      </c>
      <c r="BI167" s="5">
        <v>0.48567545615794999</v>
      </c>
      <c r="BJ167" s="5">
        <v>-7.8870080159118103E-2</v>
      </c>
      <c r="BK167" s="5">
        <v>-5.1290239947247601E-2</v>
      </c>
      <c r="BL167" s="5">
        <v>-0.23774345148563</v>
      </c>
      <c r="BM167" s="5">
        <v>0.223397991381384</v>
      </c>
      <c r="BN167" s="5">
        <v>1.66890551733022E-2</v>
      </c>
      <c r="BO167" s="5">
        <v>-0.123033533446056</v>
      </c>
      <c r="BP167" s="5">
        <v>1.8739523724599399E-2</v>
      </c>
      <c r="BQ167" s="5">
        <v>-0.152417659796245</v>
      </c>
      <c r="BR167" s="5">
        <v>-0.20494675314564401</v>
      </c>
      <c r="BS167" s="5">
        <v>0.44646419663414399</v>
      </c>
      <c r="BT167" s="5">
        <v>-0.104943258854479</v>
      </c>
      <c r="BU167" s="5">
        <v>0.415643057314872</v>
      </c>
      <c r="BV167" s="5">
        <v>-8.0786397698135295E-2</v>
      </c>
      <c r="BW167" s="5">
        <v>0.32521895938760098</v>
      </c>
      <c r="BX167" s="5">
        <v>-9.7343403899994602E-2</v>
      </c>
      <c r="BY167" s="5">
        <v>0.34461133662143001</v>
      </c>
      <c r="BZ167" s="5">
        <v>-0.102705981181446</v>
      </c>
      <c r="CA167" s="5">
        <v>0.34162616093413201</v>
      </c>
      <c r="CB167" s="5">
        <v>0.12171972223177099</v>
      </c>
      <c r="CC167" s="5">
        <v>1.9761897235416999E-2</v>
      </c>
      <c r="CD167" s="5">
        <v>-0.23873829482981801</v>
      </c>
      <c r="CE167" s="5">
        <v>0.41167407223556302</v>
      </c>
      <c r="CF167" s="5">
        <v>-0.154092522362864</v>
      </c>
      <c r="CG167" s="5">
        <v>0.31903847311303801</v>
      </c>
      <c r="CH167" s="5">
        <v>0.301070243629667</v>
      </c>
      <c r="CI167" s="5">
        <v>-0.26162398283128202</v>
      </c>
      <c r="CJ167" s="5">
        <v>0.24210520258464399</v>
      </c>
      <c r="CK167" s="5">
        <v>-0.265092166428887</v>
      </c>
      <c r="CL167" s="5">
        <v>-0.15688018887522401</v>
      </c>
      <c r="CM167" s="5">
        <v>0.176555072625591</v>
      </c>
      <c r="CN167" s="5">
        <v>-0.14865394836422099</v>
      </c>
      <c r="CO167" s="5">
        <v>0.169030784391104</v>
      </c>
      <c r="CP167" s="5">
        <v>-0.31018427446229402</v>
      </c>
      <c r="CQ167" s="5">
        <v>0.44914446044344403</v>
      </c>
      <c r="CR167" s="5">
        <v>-0.211853090029996</v>
      </c>
      <c r="CS167" s="5">
        <v>0.30245404525120601</v>
      </c>
      <c r="CT167" s="5">
        <v>-0.16052572247167701</v>
      </c>
      <c r="CU167" s="5">
        <v>0.17538113910587799</v>
      </c>
      <c r="CV167" s="5">
        <v>-9.0396294893009599E-2</v>
      </c>
      <c r="CW167" s="5">
        <v>0.18566362267737299</v>
      </c>
      <c r="CX167" s="5">
        <v>-0.24534864087133901</v>
      </c>
      <c r="CY167" s="5">
        <v>0.47749933747288897</v>
      </c>
      <c r="CZ167" s="5">
        <v>-8.9554923160497096E-2</v>
      </c>
      <c r="DA167" s="5">
        <v>0.30149077653163903</v>
      </c>
      <c r="DB167" s="5">
        <v>-0.102140044789839</v>
      </c>
      <c r="DC167" s="5">
        <v>0.240085931797347</v>
      </c>
      <c r="DD167" s="5">
        <v>-0.30850862059762102</v>
      </c>
      <c r="DE167" s="5">
        <v>0.47603637056074699</v>
      </c>
      <c r="DF167" s="5">
        <v>-0.20233957308073799</v>
      </c>
      <c r="DG167" s="5">
        <v>0.40234404371028598</v>
      </c>
      <c r="DH167" s="5">
        <v>-4.1390136173392399E-2</v>
      </c>
      <c r="DI167" s="5">
        <v>9.8576919086950196E-2</v>
      </c>
      <c r="DJ167" s="5">
        <v>-0.14235611425679801</v>
      </c>
      <c r="DK167" s="5">
        <v>0.13276902872858601</v>
      </c>
      <c r="DL167" s="5">
        <v>-0.12925980469270601</v>
      </c>
      <c r="DM167" s="5">
        <v>0.36366164472394702</v>
      </c>
      <c r="DN167" s="5">
        <v>-0.15567098231527099</v>
      </c>
      <c r="DO167" s="5">
        <v>0.137778525072691</v>
      </c>
      <c r="DP167" s="5">
        <v>7.6302738331153197E-2</v>
      </c>
      <c r="DQ167" s="5">
        <v>4.2287782974875003E-2</v>
      </c>
      <c r="DR167" s="5">
        <v>-0.13759612632290599</v>
      </c>
      <c r="DS167" s="5">
        <v>0.193136583671841</v>
      </c>
      <c r="DT167" s="5">
        <v>-8.9043861428179202E-2</v>
      </c>
      <c r="DU167" s="5">
        <v>0.18099925559815599</v>
      </c>
      <c r="DV167" s="5">
        <v>-0.123234813104871</v>
      </c>
      <c r="DW167" s="5">
        <v>0.34552269649335099</v>
      </c>
      <c r="DX167" s="5">
        <v>-0.227740560504441</v>
      </c>
      <c r="DY167" s="5">
        <v>0.27929587925410698</v>
      </c>
      <c r="DZ167" s="5">
        <v>-0.15003604431079401</v>
      </c>
      <c r="EA167" s="5">
        <v>0.17023236238178799</v>
      </c>
      <c r="EB167" s="5">
        <v>-0.22011658390272401</v>
      </c>
      <c r="EC167" s="5">
        <v>0.45709985537006098</v>
      </c>
      <c r="ED167" s="5">
        <v>-0.319101952075383</v>
      </c>
      <c r="EE167" s="5">
        <v>0.56454768726493298</v>
      </c>
      <c r="EF167" s="5">
        <v>-0.242204078795065</v>
      </c>
      <c r="EG167" s="5">
        <v>0.323739358631008</v>
      </c>
      <c r="EH167" s="5">
        <v>-0.161098619488244</v>
      </c>
      <c r="EI167" s="5">
        <v>0.42769376987119601</v>
      </c>
      <c r="EJ167" s="5">
        <v>-0.206561642028909</v>
      </c>
      <c r="EK167" s="5">
        <v>0.476955060830552</v>
      </c>
      <c r="EL167" s="5">
        <v>-5.98596108001778E-2</v>
      </c>
      <c r="EM167" s="5">
        <v>0.31583754718604101</v>
      </c>
      <c r="EN167" s="5">
        <v>0.154789288018571</v>
      </c>
      <c r="EO167" s="5">
        <v>-0.18582570440988699</v>
      </c>
      <c r="EP167" s="5">
        <v>-0.28951447265444402</v>
      </c>
      <c r="EQ167" s="5">
        <v>0.39341099074318903</v>
      </c>
      <c r="ER167" s="5">
        <v>7.7566778490106899E-3</v>
      </c>
      <c r="ES167" s="5">
        <v>0.152287985707213</v>
      </c>
      <c r="ET167" s="5">
        <v>-8.3193492166300495E-2</v>
      </c>
      <c r="EU167" s="5">
        <v>0.313169342866843</v>
      </c>
      <c r="EV167" s="5">
        <v>-0.14829424663895399</v>
      </c>
      <c r="EW167" s="5">
        <v>0.37218063434526999</v>
      </c>
      <c r="EX167" s="5">
        <v>-2.3416757339011302E-2</v>
      </c>
      <c r="EY167" s="5">
        <v>0.26684483409031201</v>
      </c>
      <c r="EZ167" s="5">
        <v>6.0609403600418903E-3</v>
      </c>
      <c r="FA167" s="5">
        <v>0.18855072918606</v>
      </c>
      <c r="FB167" s="5">
        <v>-9.0718135543195397E-2</v>
      </c>
      <c r="FC167" s="5">
        <v>0.10525056292198499</v>
      </c>
      <c r="FD167" s="5">
        <v>5.4490801101262101E-2</v>
      </c>
      <c r="FE167" s="5">
        <v>4.40914835465685E-2</v>
      </c>
      <c r="FF167" s="5">
        <v>-7.7329045421661205E-2</v>
      </c>
      <c r="FG167" s="5">
        <v>7.9544516993715605E-2</v>
      </c>
      <c r="FH167" s="5">
        <v>0.116733827724565</v>
      </c>
      <c r="FI167" s="5">
        <v>5.0173348602690897E-2</v>
      </c>
      <c r="FJ167" s="5">
        <v>-0.71976467764182495</v>
      </c>
      <c r="FK167" s="5">
        <v>1</v>
      </c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</row>
    <row r="168" spans="1:389" x14ac:dyDescent="0.45">
      <c r="A168" s="4" t="str">
        <f ca="1">"IRL / beta1dist in "&amp;CELL("address",'damages-1990'!$J$85)</f>
        <v>IRL / beta1dist in '[BHM betas v3pd.xlsx]damages-1990'!$J$85</v>
      </c>
      <c r="B168" s="6">
        <v>0.36543591300150002</v>
      </c>
      <c r="C168" s="5">
        <v>-0.26774180631493499</v>
      </c>
      <c r="D168" s="5">
        <v>-9.0740977533742495E-2</v>
      </c>
      <c r="E168" s="5">
        <v>7.8586593290149401E-2</v>
      </c>
      <c r="F168" s="5">
        <v>0.37116344346522501</v>
      </c>
      <c r="G168" s="5">
        <v>-0.20733047291106699</v>
      </c>
      <c r="H168" s="5">
        <v>0.56060217763746401</v>
      </c>
      <c r="I168" s="5">
        <v>-0.406465808498644</v>
      </c>
      <c r="J168" s="5">
        <v>-0.16415386045178801</v>
      </c>
      <c r="K168" s="5">
        <v>6.7480496771022094E-2</v>
      </c>
      <c r="L168" s="5">
        <v>0.20907308466758001</v>
      </c>
      <c r="M168" s="5">
        <v>-8.0267058417862899E-2</v>
      </c>
      <c r="N168" s="5">
        <v>0.129645617568132</v>
      </c>
      <c r="O168" s="5">
        <v>0.24002715779796299</v>
      </c>
      <c r="P168" s="5">
        <v>-0.125843926475846</v>
      </c>
      <c r="Q168" s="5">
        <v>7.7147273459630197E-2</v>
      </c>
      <c r="R168" s="5">
        <v>-7.4983029911441699E-4</v>
      </c>
      <c r="S168" s="5">
        <v>-5.3969645166140799E-2</v>
      </c>
      <c r="T168" s="5">
        <v>0.39265048267635499</v>
      </c>
      <c r="U168" s="5">
        <v>-0.197008751943717</v>
      </c>
      <c r="V168" s="5">
        <v>0.27587985290624301</v>
      </c>
      <c r="W168" s="5">
        <v>-0.14069085901172801</v>
      </c>
      <c r="X168" s="5">
        <v>-8.86096430177227E-2</v>
      </c>
      <c r="Y168" s="5">
        <v>0.10825708798985299</v>
      </c>
      <c r="Z168" s="5">
        <v>0.59364369505089298</v>
      </c>
      <c r="AA168" s="5">
        <v>-0.45230329241801598</v>
      </c>
      <c r="AB168" s="5">
        <v>-4.61034704793825E-2</v>
      </c>
      <c r="AC168" s="5">
        <v>3.5858057435484002E-2</v>
      </c>
      <c r="AD168" s="5">
        <v>3.8236051603512199E-2</v>
      </c>
      <c r="AE168" s="5">
        <v>-4.5270572154470702E-2</v>
      </c>
      <c r="AF168" s="5">
        <v>-0.111251186480666</v>
      </c>
      <c r="AG168" s="5">
        <v>4.6196727733033099E-2</v>
      </c>
      <c r="AH168" s="5">
        <v>0.36842342779026099</v>
      </c>
      <c r="AI168" s="5">
        <v>-0.17045535179660001</v>
      </c>
      <c r="AJ168" s="5">
        <v>-0.17500825555431501</v>
      </c>
      <c r="AK168" s="5">
        <v>2.2977807625344699E-2</v>
      </c>
      <c r="AL168" s="5">
        <v>-0.28075310296426897</v>
      </c>
      <c r="AM168" s="5">
        <v>0.28001305082867001</v>
      </c>
      <c r="AN168" s="5">
        <v>0.38078337516687999</v>
      </c>
      <c r="AO168" s="5">
        <v>-0.14956888949460501</v>
      </c>
      <c r="AP168" s="5">
        <v>0.55040661008976599</v>
      </c>
      <c r="AQ168" s="5">
        <v>-0.36439079228957</v>
      </c>
      <c r="AR168" s="5">
        <v>-0.29418348097087299</v>
      </c>
      <c r="AS168" s="5">
        <v>0.28028496780486201</v>
      </c>
      <c r="AT168" s="5">
        <v>-0.16355087037916999</v>
      </c>
      <c r="AU168" s="5">
        <v>0.112676683497065</v>
      </c>
      <c r="AV168" s="5">
        <v>-7.3880716097150204E-2</v>
      </c>
      <c r="AW168" s="5">
        <v>-5.8211056707161901E-3</v>
      </c>
      <c r="AX168" s="5">
        <v>-0.20876225744060301</v>
      </c>
      <c r="AY168" s="5">
        <v>0.16101519315379401</v>
      </c>
      <c r="AZ168" s="5">
        <v>-0.15899076504989301</v>
      </c>
      <c r="BA168" s="5">
        <v>0.115345528807639</v>
      </c>
      <c r="BB168" s="5">
        <v>-0.129085099512976</v>
      </c>
      <c r="BC168" s="5">
        <v>6.7810159149189697E-2</v>
      </c>
      <c r="BD168" s="5">
        <v>0.46264594754973998</v>
      </c>
      <c r="BE168" s="5">
        <v>-0.32825013412519</v>
      </c>
      <c r="BF168" s="5">
        <v>-0.11621545603675899</v>
      </c>
      <c r="BG168" s="5">
        <v>4.96620392772315E-2</v>
      </c>
      <c r="BH168" s="5">
        <v>-0.17171573360898901</v>
      </c>
      <c r="BI168" s="5">
        <v>0.15878110301666901</v>
      </c>
      <c r="BJ168" s="5">
        <v>0.27756224396282297</v>
      </c>
      <c r="BK168" s="5">
        <v>-1.9753848729443498E-3</v>
      </c>
      <c r="BL168" s="5">
        <v>0.397299199180281</v>
      </c>
      <c r="BM168" s="5">
        <v>-0.193163465658932</v>
      </c>
      <c r="BN168" s="5">
        <v>0.499142541069307</v>
      </c>
      <c r="BO168" s="5">
        <v>-0.299058011929351</v>
      </c>
      <c r="BP168" s="5">
        <v>0.62450371691619899</v>
      </c>
      <c r="BQ168" s="5">
        <v>-0.49627312390952799</v>
      </c>
      <c r="BR168" s="5">
        <v>-5.7509618539640997E-2</v>
      </c>
      <c r="BS168" s="5">
        <v>8.7527552057252406E-2</v>
      </c>
      <c r="BT168" s="5">
        <v>-0.12544452075228599</v>
      </c>
      <c r="BU168" s="5">
        <v>0.10754053964032</v>
      </c>
      <c r="BV168" s="5">
        <v>-0.147550860409426</v>
      </c>
      <c r="BW168" s="5">
        <v>0.14387928577512399</v>
      </c>
      <c r="BX168" s="5">
        <v>-0.114441543515724</v>
      </c>
      <c r="BY168" s="5">
        <v>0.12447048310652099</v>
      </c>
      <c r="BZ168" s="5">
        <v>-0.18939791477877499</v>
      </c>
      <c r="CA168" s="5">
        <v>0.161077972913832</v>
      </c>
      <c r="CB168" s="5">
        <v>-0.15496290281285999</v>
      </c>
      <c r="CC168" s="5">
        <v>0.108502048495317</v>
      </c>
      <c r="CD168" s="5">
        <v>1.4234105295700201E-2</v>
      </c>
      <c r="CE168" s="5">
        <v>-9.2219428074938298E-2</v>
      </c>
      <c r="CF168" s="5">
        <v>-0.247343539079664</v>
      </c>
      <c r="CG168" s="5">
        <v>0.21283429243356999</v>
      </c>
      <c r="CH168" s="5">
        <v>-0.29913054240414699</v>
      </c>
      <c r="CI168" s="5">
        <v>0.316574480502053</v>
      </c>
      <c r="CJ168" s="5">
        <v>4.2350755880799902E-2</v>
      </c>
      <c r="CK168" s="5">
        <v>-9.1666259822639998E-2</v>
      </c>
      <c r="CL168" s="5">
        <v>0.45345596986285502</v>
      </c>
      <c r="CM168" s="5">
        <v>-0.26275017192099498</v>
      </c>
      <c r="CN168" s="5">
        <v>0.52765713561517902</v>
      </c>
      <c r="CO168" s="5">
        <v>-0.35392168260979701</v>
      </c>
      <c r="CP168" s="5">
        <v>-0.1808399631374</v>
      </c>
      <c r="CQ168" s="5">
        <v>0.140966709827891</v>
      </c>
      <c r="CR168" s="5">
        <v>-0.117479275001827</v>
      </c>
      <c r="CS168" s="5">
        <v>9.8864418140621094E-2</v>
      </c>
      <c r="CT168" s="5">
        <v>0.43142417880397299</v>
      </c>
      <c r="CU168" s="5">
        <v>-0.25044134816091002</v>
      </c>
      <c r="CV168" s="5">
        <v>1.9549225660963301E-2</v>
      </c>
      <c r="CW168" s="5">
        <v>-3.6270846165780898E-2</v>
      </c>
      <c r="CX168" s="5">
        <v>4.21257426081579E-2</v>
      </c>
      <c r="CY168" s="5">
        <v>-0.131336114683518</v>
      </c>
      <c r="CZ168" s="5">
        <v>-0.17886185735254101</v>
      </c>
      <c r="DA168" s="5">
        <v>0.163769838119948</v>
      </c>
      <c r="DB168" s="5">
        <v>4.5623322021064699E-2</v>
      </c>
      <c r="DC168" s="5">
        <v>-0.24960957821172899</v>
      </c>
      <c r="DD168" s="5">
        <v>-1.4689264239412501E-2</v>
      </c>
      <c r="DE168" s="5">
        <v>-1.8738620267339599E-2</v>
      </c>
      <c r="DF168" s="5">
        <v>-0.121740007089937</v>
      </c>
      <c r="DG168" s="5">
        <v>8.4360502807368398E-2</v>
      </c>
      <c r="DH168" s="5">
        <v>0.34627432828332699</v>
      </c>
      <c r="DI168" s="5">
        <v>-0.245465901938136</v>
      </c>
      <c r="DJ168" s="5">
        <v>0.491341620876597</v>
      </c>
      <c r="DK168" s="5">
        <v>-0.32060163412013798</v>
      </c>
      <c r="DL168" s="5">
        <v>-0.216338017448956</v>
      </c>
      <c r="DM168" s="5">
        <v>0.20879982631152999</v>
      </c>
      <c r="DN168" s="5">
        <v>0.49697938689764198</v>
      </c>
      <c r="DO168" s="5">
        <v>-0.31987812585222197</v>
      </c>
      <c r="DP168" s="5">
        <v>7.2909649038002095E-2</v>
      </c>
      <c r="DQ168" s="5">
        <v>-6.6876920186596703E-2</v>
      </c>
      <c r="DR168" s="5">
        <v>0.57492231358514301</v>
      </c>
      <c r="DS168" s="5">
        <v>-0.46009967216957998</v>
      </c>
      <c r="DT168" s="5">
        <v>-0.22968932408060699</v>
      </c>
      <c r="DU168" s="5">
        <v>0.21503454511971801</v>
      </c>
      <c r="DV168" s="5">
        <v>-1.40340767025917E-2</v>
      </c>
      <c r="DW168" s="5">
        <v>5.7996170497991301E-3</v>
      </c>
      <c r="DX168" s="5">
        <v>0.832946309436291</v>
      </c>
      <c r="DY168" s="5">
        <v>-0.74521980135388</v>
      </c>
      <c r="DZ168" s="5">
        <v>0.220460138524391</v>
      </c>
      <c r="EA168" s="5">
        <v>0.140616244397271</v>
      </c>
      <c r="EB168" s="5">
        <v>-9.2539661529422904E-2</v>
      </c>
      <c r="EC168" s="5">
        <v>8.2987983395475098E-2</v>
      </c>
      <c r="ED168" s="5">
        <v>-5.8949316707637499E-2</v>
      </c>
      <c r="EE168" s="5">
        <v>6.6469392672124303E-2</v>
      </c>
      <c r="EF168" s="5">
        <v>-0.12528468771551499</v>
      </c>
      <c r="EG168" s="5">
        <v>9.3907344923162994E-2</v>
      </c>
      <c r="EH168" s="5">
        <v>-0.10513831103188601</v>
      </c>
      <c r="EI168" s="5">
        <v>4.6106411416605701E-2</v>
      </c>
      <c r="EJ168" s="5">
        <v>-7.09221486642828E-2</v>
      </c>
      <c r="EK168" s="5">
        <v>2.55713084077945E-2</v>
      </c>
      <c r="EL168" s="5">
        <v>-0.20376099945287601</v>
      </c>
      <c r="EM168" s="5">
        <v>0.20603925594182501</v>
      </c>
      <c r="EN168" s="5">
        <v>0.22536600774434601</v>
      </c>
      <c r="EO168" s="5">
        <v>-0.14609535119952299</v>
      </c>
      <c r="EP168" s="5">
        <v>-0.124633928089373</v>
      </c>
      <c r="EQ168" s="5">
        <v>7.7248471085375595E-2</v>
      </c>
      <c r="ER168" s="5">
        <v>-0.20608991244945099</v>
      </c>
      <c r="ES168" s="5">
        <v>0.21449929239457799</v>
      </c>
      <c r="ET168" s="5">
        <v>-0.24387010204093101</v>
      </c>
      <c r="EU168" s="5">
        <v>0.20919671356983999</v>
      </c>
      <c r="EV168" s="5">
        <v>-0.23499789178101199</v>
      </c>
      <c r="EW168" s="5">
        <v>0.14551777474319499</v>
      </c>
      <c r="EX168" s="5">
        <v>-0.18355472048768301</v>
      </c>
      <c r="EY168" s="5">
        <v>0.15205850716969399</v>
      </c>
      <c r="EZ168" s="5">
        <v>-0.19514848448820499</v>
      </c>
      <c r="FA168" s="5">
        <v>0.17904403086114701</v>
      </c>
      <c r="FB168" s="5">
        <v>0.36908867138061902</v>
      </c>
      <c r="FC168" s="5">
        <v>-0.18245962829038401</v>
      </c>
      <c r="FD168" s="5">
        <v>-5.7694686663101E-2</v>
      </c>
      <c r="FE168" s="5">
        <v>5.27492979700609E-2</v>
      </c>
      <c r="FF168" s="5">
        <v>0.43099155089193703</v>
      </c>
      <c r="FG168" s="5">
        <v>-0.241662812488314</v>
      </c>
      <c r="FH168" s="5">
        <v>-0.108269521072375</v>
      </c>
      <c r="FI168" s="5">
        <v>7.8355422204988007E-2</v>
      </c>
      <c r="FJ168" s="5">
        <v>5.5018545344003203E-2</v>
      </c>
      <c r="FK168" s="5">
        <v>-0.14160443019601901</v>
      </c>
      <c r="FL168" s="5">
        <v>1</v>
      </c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</row>
    <row r="169" spans="1:389" x14ac:dyDescent="0.45">
      <c r="A169" s="4" t="str">
        <f ca="1">"IRL / beta2dist in "&amp;CELL("address",'damages-1990'!$K$85)</f>
        <v>IRL / beta2dist in '[BHM betas v3pd.xlsx]damages-1990'!$K$85</v>
      </c>
      <c r="B169" s="6">
        <v>-6.8401041481126301E-2</v>
      </c>
      <c r="C169" s="5">
        <v>0.17047860846910301</v>
      </c>
      <c r="D169" s="5">
        <v>0.18191671897928999</v>
      </c>
      <c r="E169" s="5">
        <v>-9.9636547990349794E-2</v>
      </c>
      <c r="F169" s="5">
        <v>-4.5011788173907497E-2</v>
      </c>
      <c r="G169" s="5">
        <v>5.9746566361214698E-2</v>
      </c>
      <c r="H169" s="5">
        <v>-0.34348759406408902</v>
      </c>
      <c r="I169" s="5">
        <v>0.33560796871027099</v>
      </c>
      <c r="J169" s="5">
        <v>0.22326309915516701</v>
      </c>
      <c r="K169" s="5">
        <v>-8.4770230259523696E-2</v>
      </c>
      <c r="L169" s="5">
        <v>1.1378551970449201E-2</v>
      </c>
      <c r="M169" s="5">
        <v>2.6277664603263199E-2</v>
      </c>
      <c r="N169" s="5">
        <v>0.177884805800166</v>
      </c>
      <c r="O169" s="5">
        <v>-0.39302439376950499</v>
      </c>
      <c r="P169" s="5">
        <v>0.15387282948502401</v>
      </c>
      <c r="Q169" s="5">
        <v>-8.3723504555403103E-2</v>
      </c>
      <c r="R169" s="5">
        <v>0.10594070234290601</v>
      </c>
      <c r="S169" s="5">
        <v>2.5214123516366E-2</v>
      </c>
      <c r="T169" s="5">
        <v>-0.17034508374028801</v>
      </c>
      <c r="U169" s="5">
        <v>0.117399089023491</v>
      </c>
      <c r="V169" s="5">
        <v>4.7376790797871E-2</v>
      </c>
      <c r="W169" s="5">
        <v>-4.9432677323260803E-3</v>
      </c>
      <c r="X169" s="5">
        <v>0.21651962412284001</v>
      </c>
      <c r="Y169" s="5">
        <v>-0.15290122239575801</v>
      </c>
      <c r="Z169" s="5">
        <v>-0.31659519943801101</v>
      </c>
      <c r="AA169" s="5">
        <v>0.36491701275288502</v>
      </c>
      <c r="AB169" s="5">
        <v>8.1493210555697193E-2</v>
      </c>
      <c r="AC169" s="5">
        <v>-3.0793760800479401E-2</v>
      </c>
      <c r="AD169" s="5">
        <v>-5.7624493612193402E-3</v>
      </c>
      <c r="AE169" s="5">
        <v>6.2317705001058397E-2</v>
      </c>
      <c r="AF169" s="5">
        <v>0.107364346869615</v>
      </c>
      <c r="AG169" s="5">
        <v>-4.97250941983107E-3</v>
      </c>
      <c r="AH169" s="5">
        <v>-6.1064566029840103E-2</v>
      </c>
      <c r="AI169" s="5">
        <v>4.3432500837836098E-2</v>
      </c>
      <c r="AJ169" s="5">
        <v>0.23029530427606301</v>
      </c>
      <c r="AK169" s="5">
        <v>-3.5524350990893801E-2</v>
      </c>
      <c r="AL169" s="5">
        <v>0.35022630550310402</v>
      </c>
      <c r="AM169" s="5">
        <v>-0.33784188427198703</v>
      </c>
      <c r="AN169" s="5">
        <v>-7.5565346524951602E-2</v>
      </c>
      <c r="AO169" s="5">
        <v>2.3502226597157901E-2</v>
      </c>
      <c r="AP169" s="5">
        <v>-0.39518295435808798</v>
      </c>
      <c r="AQ169" s="5">
        <v>0.35601678838065498</v>
      </c>
      <c r="AR169" s="5">
        <v>0.357523323020836</v>
      </c>
      <c r="AS169" s="5">
        <v>-0.31437803965629302</v>
      </c>
      <c r="AT169" s="5">
        <v>0.21102749671305501</v>
      </c>
      <c r="AU169" s="5">
        <v>-0.127744759272027</v>
      </c>
      <c r="AV169" s="5">
        <v>0.135775044775934</v>
      </c>
      <c r="AW169" s="5">
        <v>1.9179367797897799E-2</v>
      </c>
      <c r="AX169" s="5">
        <v>0.25673308830508701</v>
      </c>
      <c r="AY169" s="5">
        <v>-0.18296433923139599</v>
      </c>
      <c r="AZ169" s="5">
        <v>0.18247196929530901</v>
      </c>
      <c r="BA169" s="5">
        <v>-0.107552156128675</v>
      </c>
      <c r="BB169" s="5">
        <v>0.19099346266490699</v>
      </c>
      <c r="BC169" s="5">
        <v>-8.1236362363693901E-2</v>
      </c>
      <c r="BD169" s="5">
        <v>-0.13699145559694001</v>
      </c>
      <c r="BE169" s="5">
        <v>0.213567116399204</v>
      </c>
      <c r="BF169" s="5">
        <v>0.186136901992173</v>
      </c>
      <c r="BG169" s="5">
        <v>-6.6583986653468999E-2</v>
      </c>
      <c r="BH169" s="5">
        <v>0.25566611783358001</v>
      </c>
      <c r="BI169" s="5">
        <v>-0.18454785022359799</v>
      </c>
      <c r="BJ169" s="5">
        <v>-9.3887643339250995E-2</v>
      </c>
      <c r="BK169" s="5">
        <v>-6.7586889651250204E-2</v>
      </c>
      <c r="BL169" s="5">
        <v>-0.15837869621966</v>
      </c>
      <c r="BM169" s="5">
        <v>9.4321865390844195E-2</v>
      </c>
      <c r="BN169" s="5">
        <v>-0.24176838522844599</v>
      </c>
      <c r="BO169" s="5">
        <v>0.26306343675354199</v>
      </c>
      <c r="BP169" s="5">
        <v>-0.33007045441176502</v>
      </c>
      <c r="BQ169" s="5">
        <v>0.39053623288521899</v>
      </c>
      <c r="BR169" s="5">
        <v>0.127350798812609</v>
      </c>
      <c r="BS169" s="5">
        <v>-0.103972474185069</v>
      </c>
      <c r="BT169" s="5">
        <v>0.21156466019616499</v>
      </c>
      <c r="BU169" s="5">
        <v>-0.12915373091416199</v>
      </c>
      <c r="BV169" s="5">
        <v>0.23422286367363401</v>
      </c>
      <c r="BW169" s="5">
        <v>-0.18313307808787699</v>
      </c>
      <c r="BX169" s="5">
        <v>0.19232946866089901</v>
      </c>
      <c r="BY169" s="5">
        <v>-0.163965384785141</v>
      </c>
      <c r="BZ169" s="5">
        <v>0.237133459183371</v>
      </c>
      <c r="CA169" s="5">
        <v>-0.180446090081543</v>
      </c>
      <c r="CB169" s="5">
        <v>0.22118674544098699</v>
      </c>
      <c r="CC169" s="5">
        <v>-0.14363204384148101</v>
      </c>
      <c r="CD169" s="5">
        <v>1.3115980897959E-2</v>
      </c>
      <c r="CE169" s="5">
        <v>0.12886556654822001</v>
      </c>
      <c r="CF169" s="5">
        <v>0.29655014024281801</v>
      </c>
      <c r="CG169" s="5">
        <v>-0.23990750288443</v>
      </c>
      <c r="CH169" s="5">
        <v>0.39264101564870102</v>
      </c>
      <c r="CI169" s="5">
        <v>-0.40141059733888801</v>
      </c>
      <c r="CJ169" s="5">
        <v>7.9435154000532804E-2</v>
      </c>
      <c r="CK169" s="5">
        <v>6.8878845683259804E-2</v>
      </c>
      <c r="CL169" s="5">
        <v>-0.21224422478725299</v>
      </c>
      <c r="CM169" s="5">
        <v>0.18633937664474101</v>
      </c>
      <c r="CN169" s="5">
        <v>-0.258443247748956</v>
      </c>
      <c r="CO169" s="5">
        <v>0.26235578247526897</v>
      </c>
      <c r="CP169" s="5">
        <v>0.19582238713202499</v>
      </c>
      <c r="CQ169" s="5">
        <v>-0.13045436270786101</v>
      </c>
      <c r="CR169" s="5">
        <v>0.178636931200572</v>
      </c>
      <c r="CS169" s="5">
        <v>-0.11075132647102</v>
      </c>
      <c r="CT169" s="5">
        <v>-0.21546309927101601</v>
      </c>
      <c r="CU169" s="5">
        <v>0.17787981033341799</v>
      </c>
      <c r="CV169" s="5">
        <v>2.7953235051628401E-3</v>
      </c>
      <c r="CW169" s="5">
        <v>5.2720268118689503E-2</v>
      </c>
      <c r="CX169" s="5">
        <v>-1.09316987136667E-2</v>
      </c>
      <c r="CY169" s="5">
        <v>0.17564524627338299</v>
      </c>
      <c r="CZ169" s="5">
        <v>0.260194118330906</v>
      </c>
      <c r="DA169" s="5">
        <v>-0.20401016318530901</v>
      </c>
      <c r="DB169" s="5">
        <v>-3.44222481482888E-3</v>
      </c>
      <c r="DC169" s="5">
        <v>0.29965589989051999</v>
      </c>
      <c r="DD169" s="5">
        <v>3.1638416775088801E-2</v>
      </c>
      <c r="DE169" s="5">
        <v>4.7918411014702698E-2</v>
      </c>
      <c r="DF169" s="5">
        <v>0.16442866754112401</v>
      </c>
      <c r="DG169" s="5">
        <v>-6.7093256438475607E-2</v>
      </c>
      <c r="DH169" s="5">
        <v>-5.4309719213137403E-2</v>
      </c>
      <c r="DI169" s="5">
        <v>0.125117346904004</v>
      </c>
      <c r="DJ169" s="5">
        <v>-0.35282020828227501</v>
      </c>
      <c r="DK169" s="5">
        <v>0.31224218083767002</v>
      </c>
      <c r="DL169" s="5">
        <v>0.33434542937634598</v>
      </c>
      <c r="DM169" s="5">
        <v>-0.242670010561049</v>
      </c>
      <c r="DN169" s="5">
        <v>-0.36916766392183897</v>
      </c>
      <c r="DO169" s="5">
        <v>0.31229518453299498</v>
      </c>
      <c r="DP169" s="5">
        <v>-4.2428703709843203E-2</v>
      </c>
      <c r="DQ169" s="5">
        <v>0.105518236068534</v>
      </c>
      <c r="DR169" s="5">
        <v>-0.25031807668290601</v>
      </c>
      <c r="DS169" s="5">
        <v>0.32373080440861701</v>
      </c>
      <c r="DT169" s="5">
        <v>0.248440957407806</v>
      </c>
      <c r="DU169" s="5">
        <v>-0.22187656929439301</v>
      </c>
      <c r="DV169" s="5">
        <v>8.0812409079386402E-2</v>
      </c>
      <c r="DW169" s="5">
        <v>-3.53151621746201E-2</v>
      </c>
      <c r="DX169" s="5">
        <v>-0.658058976796281</v>
      </c>
      <c r="DY169" s="5">
        <v>0.78115094936025897</v>
      </c>
      <c r="DZ169" s="5">
        <v>8.1601627722605596E-2</v>
      </c>
      <c r="EA169" s="5">
        <v>-0.27785143405340101</v>
      </c>
      <c r="EB169" s="5">
        <v>0.137865677374086</v>
      </c>
      <c r="EC169" s="5">
        <v>-8.4381423448821699E-2</v>
      </c>
      <c r="ED169" s="5">
        <v>0.12465586913355201</v>
      </c>
      <c r="EE169" s="5">
        <v>-7.3711676502432294E-2</v>
      </c>
      <c r="EF169" s="5">
        <v>0.17550707906329399</v>
      </c>
      <c r="EG169" s="5">
        <v>-0.106847924581604</v>
      </c>
      <c r="EH169" s="5">
        <v>0.13956949211146599</v>
      </c>
      <c r="EI169" s="5">
        <v>-1.8052976074245001E-2</v>
      </c>
      <c r="EJ169" s="5">
        <v>0.113350034440689</v>
      </c>
      <c r="EK169" s="5">
        <v>-6.3663155378964999E-3</v>
      </c>
      <c r="EL169" s="5">
        <v>0.27821912152052902</v>
      </c>
      <c r="EM169" s="5">
        <v>-0.222210977729139</v>
      </c>
      <c r="EN169" s="5">
        <v>-5.0078472442775497E-3</v>
      </c>
      <c r="EO169" s="5">
        <v>8.6539030495787497E-2</v>
      </c>
      <c r="EP169" s="5">
        <v>0.150897919582651</v>
      </c>
      <c r="EQ169" s="5">
        <v>-7.1636922372155507E-2</v>
      </c>
      <c r="ER169" s="5">
        <v>0.29318494161685899</v>
      </c>
      <c r="ES169" s="5">
        <v>-0.26026503466777801</v>
      </c>
      <c r="ET169" s="5">
        <v>0.305852630169069</v>
      </c>
      <c r="EU169" s="5">
        <v>-0.25122475769764102</v>
      </c>
      <c r="EV169" s="5">
        <v>0.26498742161314398</v>
      </c>
      <c r="EW169" s="5">
        <v>-0.155851504378657</v>
      </c>
      <c r="EX169" s="5">
        <v>0.227993983020983</v>
      </c>
      <c r="EY169" s="5">
        <v>-0.14891490301303001</v>
      </c>
      <c r="EZ169" s="5">
        <v>0.26082140577424701</v>
      </c>
      <c r="FA169" s="5">
        <v>-0.19812223486243999</v>
      </c>
      <c r="FB169" s="5">
        <v>-4.24570892401391E-2</v>
      </c>
      <c r="FC169" s="5">
        <v>3.4456762007193997E-2</v>
      </c>
      <c r="FD169" s="5">
        <v>0.114620233245126</v>
      </c>
      <c r="FE169" s="5">
        <v>-7.3020101173666904E-2</v>
      </c>
      <c r="FF169" s="5">
        <v>-0.137736212334132</v>
      </c>
      <c r="FG169" s="5">
        <v>0.12950951374974401</v>
      </c>
      <c r="FH169" s="5">
        <v>0.15487501328192599</v>
      </c>
      <c r="FI169" s="5">
        <v>-7.4982434506578904E-2</v>
      </c>
      <c r="FJ169" s="5">
        <v>-6.5525106892500096E-3</v>
      </c>
      <c r="FK169" s="5">
        <v>0.16025644576629999</v>
      </c>
      <c r="FL169" s="5">
        <v>-0.881571983623886</v>
      </c>
      <c r="FM169" s="5">
        <v>1</v>
      </c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</row>
    <row r="170" spans="1:389" x14ac:dyDescent="0.45">
      <c r="A170" s="4" t="str">
        <f ca="1">"IRN / beta1dist in "&amp;CELL("address",'damages-1990'!$J$86)</f>
        <v>IRN / beta1dist in '[BHM betas v3pd.xlsx]damages-1990'!$J$86</v>
      </c>
      <c r="B170" s="6">
        <v>0.65498247525528197</v>
      </c>
      <c r="C170" s="5">
        <v>-0.33628717020641202</v>
      </c>
      <c r="D170" s="5">
        <v>0.45774363305516602</v>
      </c>
      <c r="E170" s="5">
        <v>-0.171242575000637</v>
      </c>
      <c r="F170" s="5">
        <v>0.37394878558565198</v>
      </c>
      <c r="G170" s="5">
        <v>-4.04943249005765E-2</v>
      </c>
      <c r="H170" s="5">
        <v>-2.8870109820583901E-2</v>
      </c>
      <c r="I170" s="5">
        <v>0.15039395856214099</v>
      </c>
      <c r="J170" s="5">
        <v>0.62468147615654801</v>
      </c>
      <c r="K170" s="5">
        <v>-0.42106879744617798</v>
      </c>
      <c r="L170" s="5">
        <v>0.65443329113588899</v>
      </c>
      <c r="M170" s="5">
        <v>-0.34051271223747498</v>
      </c>
      <c r="N170" s="5">
        <v>-4.3103465839102698E-2</v>
      </c>
      <c r="O170" s="5">
        <v>0.26880834648485302</v>
      </c>
      <c r="P170" s="5">
        <v>6.24125740270315E-2</v>
      </c>
      <c r="Q170" s="5">
        <v>6.5633889744370399E-2</v>
      </c>
      <c r="R170" s="5">
        <v>0.41772187868679</v>
      </c>
      <c r="S170" s="5">
        <v>-0.110655177001418</v>
      </c>
      <c r="T170" s="5">
        <v>8.4878032532043901E-2</v>
      </c>
      <c r="U170" s="5">
        <v>3.8707838121781801E-2</v>
      </c>
      <c r="V170" s="5">
        <v>0.50561723297606098</v>
      </c>
      <c r="W170" s="5">
        <v>-0.101138786243193</v>
      </c>
      <c r="X170" s="5">
        <v>0.38272548165590098</v>
      </c>
      <c r="Y170" s="5">
        <v>-8.7318700747402903E-2</v>
      </c>
      <c r="Z170" s="5">
        <v>0.17380280007535101</v>
      </c>
      <c r="AA170" s="5">
        <v>5.4458040235935597E-2</v>
      </c>
      <c r="AB170" s="5">
        <v>0.40997791124941602</v>
      </c>
      <c r="AC170" s="5">
        <v>-0.23119109222059001</v>
      </c>
      <c r="AD170" s="5">
        <v>0.48631941763090802</v>
      </c>
      <c r="AE170" s="5">
        <v>-0.26168519927563</v>
      </c>
      <c r="AF170" s="5">
        <v>0.32720162966629901</v>
      </c>
      <c r="AG170" s="5">
        <v>-0.16121794238373799</v>
      </c>
      <c r="AH170" s="5">
        <v>0.30642763192649802</v>
      </c>
      <c r="AI170" s="5">
        <v>5.5757795012256499E-3</v>
      </c>
      <c r="AJ170" s="5">
        <v>0.60644932835284004</v>
      </c>
      <c r="AK170" s="5">
        <v>-0.43209597986310799</v>
      </c>
      <c r="AL170" s="5">
        <v>4.8481051710027798E-2</v>
      </c>
      <c r="AM170" s="5">
        <v>0.120181646513899</v>
      </c>
      <c r="AN170" s="5">
        <v>0.20126310706039199</v>
      </c>
      <c r="AO170" s="5">
        <v>4.4604505588089698E-2</v>
      </c>
      <c r="AP170" s="5">
        <v>0.17382939623249899</v>
      </c>
      <c r="AQ170" s="5">
        <v>-7.1453336689289701E-2</v>
      </c>
      <c r="AR170" s="5">
        <v>0.30464666095308601</v>
      </c>
      <c r="AS170" s="5">
        <v>-9.16698065647569E-2</v>
      </c>
      <c r="AT170" s="5">
        <v>8.4072403657857397E-2</v>
      </c>
      <c r="AU170" s="5">
        <v>3.0407092215190501E-2</v>
      </c>
      <c r="AV170" s="5">
        <v>0.36789556854222699</v>
      </c>
      <c r="AW170" s="5">
        <v>-5.86129270671936E-2</v>
      </c>
      <c r="AX170" s="5">
        <v>0.37655687514783198</v>
      </c>
      <c r="AY170" s="5">
        <v>-0.10024243490948299</v>
      </c>
      <c r="AZ170" s="5">
        <v>0.26783698366382303</v>
      </c>
      <c r="BA170" s="5">
        <v>-0.13669074096216499</v>
      </c>
      <c r="BB170" s="5">
        <v>0.46824964577663197</v>
      </c>
      <c r="BC170" s="5">
        <v>-0.25389996367673701</v>
      </c>
      <c r="BD170" s="5">
        <v>0.41742151729841198</v>
      </c>
      <c r="BE170" s="5">
        <v>-5.0391434236036703E-2</v>
      </c>
      <c r="BF170" s="5">
        <v>0.39520562466271603</v>
      </c>
      <c r="BG170" s="5">
        <v>-0.18181702844425601</v>
      </c>
      <c r="BH170" s="5">
        <v>0.50130897267227104</v>
      </c>
      <c r="BI170" s="5">
        <v>-0.25679173740063899</v>
      </c>
      <c r="BJ170" s="5">
        <v>-2.1980067890494E-2</v>
      </c>
      <c r="BK170" s="5">
        <v>5.5885624015479599E-2</v>
      </c>
      <c r="BL170" s="5">
        <v>6.7790206268473194E-2</v>
      </c>
      <c r="BM170" s="5">
        <v>5.4345483604410098E-2</v>
      </c>
      <c r="BN170" s="5">
        <v>0.103046656699278</v>
      </c>
      <c r="BO170" s="5">
        <v>0.182509693541517</v>
      </c>
      <c r="BP170" s="5">
        <v>0.148436508158245</v>
      </c>
      <c r="BQ170" s="5">
        <v>7.7975410761697103E-2</v>
      </c>
      <c r="BR170" s="5">
        <v>0.37052674934393998</v>
      </c>
      <c r="BS170" s="5">
        <v>-0.182781144882635</v>
      </c>
      <c r="BT170" s="5">
        <v>0.50804292859894096</v>
      </c>
      <c r="BU170" s="5">
        <v>-0.27813585232773602</v>
      </c>
      <c r="BV170" s="5">
        <v>0.47535079733452101</v>
      </c>
      <c r="BW170" s="5">
        <v>-0.21707673626634499</v>
      </c>
      <c r="BX170" s="5">
        <v>0.44374907052259999</v>
      </c>
      <c r="BY170" s="5">
        <v>-0.22570326354411499</v>
      </c>
      <c r="BZ170" s="5">
        <v>0.34525587086624099</v>
      </c>
      <c r="CA170" s="5">
        <v>-9.2097372690907897E-2</v>
      </c>
      <c r="CB170" s="5">
        <v>2.0098074558888301E-2</v>
      </c>
      <c r="CC170" s="5">
        <v>0.14564503595627001</v>
      </c>
      <c r="CD170" s="5">
        <v>0.24515391353774199</v>
      </c>
      <c r="CE170" s="5">
        <v>-4.5809692229118501E-2</v>
      </c>
      <c r="CF170" s="5">
        <v>0.24597240576866999</v>
      </c>
      <c r="CG170" s="5">
        <v>-7.1612542652616601E-2</v>
      </c>
      <c r="CH170" s="5">
        <v>4.32491503029706E-2</v>
      </c>
      <c r="CI170" s="5">
        <v>9.7547432753960203E-2</v>
      </c>
      <c r="CJ170" s="5">
        <v>0.367616311715174</v>
      </c>
      <c r="CK170" s="5">
        <v>-0.16175708073679401</v>
      </c>
      <c r="CL170" s="5">
        <v>0.133511108752982</v>
      </c>
      <c r="CM170" s="5">
        <v>2.3496029335508501E-2</v>
      </c>
      <c r="CN170" s="5">
        <v>0.151752958124342</v>
      </c>
      <c r="CO170" s="5">
        <v>4.0236885502422097E-2</v>
      </c>
      <c r="CP170" s="5">
        <v>0.39168674472408099</v>
      </c>
      <c r="CQ170" s="5">
        <v>-0.209663819284372</v>
      </c>
      <c r="CR170" s="5">
        <v>0.107717999475872</v>
      </c>
      <c r="CS170" s="5">
        <v>5.6909482819384703E-2</v>
      </c>
      <c r="CT170" s="5">
        <v>0.14097288535249</v>
      </c>
      <c r="CU170" s="5">
        <v>-2.65429197942578E-2</v>
      </c>
      <c r="CV170" s="5">
        <v>0.144816033412071</v>
      </c>
      <c r="CW170" s="5">
        <v>3.1094443008997899E-2</v>
      </c>
      <c r="CX170" s="5">
        <v>0.58269366789349797</v>
      </c>
      <c r="CY170" s="5">
        <v>-0.340150942654806</v>
      </c>
      <c r="CZ170" s="5">
        <v>0.261633786984659</v>
      </c>
      <c r="DA170" s="5">
        <v>-6.8735290494246898E-3</v>
      </c>
      <c r="DB170" s="5">
        <v>0.44227149741671501</v>
      </c>
      <c r="DC170" s="5">
        <v>-0.153132061716515</v>
      </c>
      <c r="DD170" s="5">
        <v>0.47331067265618798</v>
      </c>
      <c r="DE170" s="5">
        <v>-0.22816868991522099</v>
      </c>
      <c r="DF170" s="5">
        <v>0.40588396151533301</v>
      </c>
      <c r="DG170" s="5">
        <v>-0.18185166659658</v>
      </c>
      <c r="DH170" s="5">
        <v>0.43128441801751799</v>
      </c>
      <c r="DI170" s="5">
        <v>-8.2393902425559995E-2</v>
      </c>
      <c r="DJ170" s="5">
        <v>0.155742926423275</v>
      </c>
      <c r="DK170" s="5">
        <v>-8.45640525978162E-2</v>
      </c>
      <c r="DL170" s="5">
        <v>0.40720487455400101</v>
      </c>
      <c r="DM170" s="5">
        <v>-0.14342302556950401</v>
      </c>
      <c r="DN170" s="5">
        <v>9.5227125467282306E-2</v>
      </c>
      <c r="DO170" s="5">
        <v>-7.4582027764320297E-2</v>
      </c>
      <c r="DP170" s="5">
        <v>0.39401867143293001</v>
      </c>
      <c r="DQ170" s="5">
        <v>-0.229055795398492</v>
      </c>
      <c r="DR170" s="5">
        <v>0.275235775856989</v>
      </c>
      <c r="DS170" s="5">
        <v>2.1673191237990601E-2</v>
      </c>
      <c r="DT170" s="5">
        <v>0.32449866083569601</v>
      </c>
      <c r="DU170" s="5">
        <v>-0.19500639904925199</v>
      </c>
      <c r="DV170" s="5">
        <v>0.28093665723508499</v>
      </c>
      <c r="DW170" s="5">
        <v>-9.2009970796101098E-2</v>
      </c>
      <c r="DX170" s="5">
        <v>0.13480144833878499</v>
      </c>
      <c r="DY170" s="5">
        <v>2.14502512084206E-2</v>
      </c>
      <c r="DZ170" s="5">
        <v>9.2323831150791402E-2</v>
      </c>
      <c r="EA170" s="5">
        <v>0.13738624890534501</v>
      </c>
      <c r="EB170" s="5">
        <v>0.42853316378257</v>
      </c>
      <c r="EC170" s="5">
        <v>-0.207343298366995</v>
      </c>
      <c r="ED170" s="5">
        <v>0.47049291216510097</v>
      </c>
      <c r="EE170" s="5">
        <v>-0.22892422359639</v>
      </c>
      <c r="EF170" s="5">
        <v>8.6102982048373994E-2</v>
      </c>
      <c r="EG170" s="5">
        <v>5.6652050403395701E-2</v>
      </c>
      <c r="EH170" s="5">
        <v>0.47870310504626501</v>
      </c>
      <c r="EI170" s="5">
        <v>-0.22706603148774701</v>
      </c>
      <c r="EJ170" s="5">
        <v>0.517772042357447</v>
      </c>
      <c r="EK170" s="5">
        <v>-0.24679681909361201</v>
      </c>
      <c r="EL170" s="5">
        <v>0.39183741652668103</v>
      </c>
      <c r="EM170" s="5">
        <v>-0.179708105533886</v>
      </c>
      <c r="EN170" s="5">
        <v>0.46930839369173599</v>
      </c>
      <c r="EO170" s="5">
        <v>-0.16320953818654699</v>
      </c>
      <c r="EP170" s="5">
        <v>0.25879889602525302</v>
      </c>
      <c r="EQ170" s="5">
        <v>-9.4309104064334598E-2</v>
      </c>
      <c r="ER170" s="5">
        <v>0.38089173075907301</v>
      </c>
      <c r="ES170" s="5">
        <v>-0.113611225226095</v>
      </c>
      <c r="ET170" s="5">
        <v>0.29376992951914999</v>
      </c>
      <c r="EU170" s="5">
        <v>-0.104614095646326</v>
      </c>
      <c r="EV170" s="5">
        <v>0.33134979222024302</v>
      </c>
      <c r="EW170" s="5">
        <v>-0.13672005271573501</v>
      </c>
      <c r="EX170" s="5">
        <v>0.15796565311393501</v>
      </c>
      <c r="EY170" s="5">
        <v>2.8664040387453401E-2</v>
      </c>
      <c r="EZ170" s="5">
        <v>0.37112658791064701</v>
      </c>
      <c r="FA170" s="5">
        <v>-0.13980938475681901</v>
      </c>
      <c r="FB170" s="5">
        <v>0.297825940076903</v>
      </c>
      <c r="FC170" s="5">
        <v>1.1929306958556599E-2</v>
      </c>
      <c r="FD170" s="5">
        <v>0.126983425650257</v>
      </c>
      <c r="FE170" s="5">
        <v>6.5001395051889205E-2</v>
      </c>
      <c r="FF170" s="5">
        <v>0.264551956382863</v>
      </c>
      <c r="FG170" s="5">
        <v>6.8537595237490997E-3</v>
      </c>
      <c r="FH170" s="5">
        <v>0.40667263795344799</v>
      </c>
      <c r="FI170" s="5">
        <v>-0.26005982969625302</v>
      </c>
      <c r="FJ170" s="5">
        <v>0.45334685335414299</v>
      </c>
      <c r="FK170" s="5">
        <v>-0.19117033829727001</v>
      </c>
      <c r="FL170" s="5">
        <v>0.14993862599244001</v>
      </c>
      <c r="FM170" s="5">
        <v>3.2136652672758198E-2</v>
      </c>
      <c r="FN170" s="5">
        <v>1</v>
      </c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</row>
    <row r="171" spans="1:389" x14ac:dyDescent="0.45">
      <c r="A171" s="4" t="str">
        <f ca="1">"IRN / beta2dist in "&amp;CELL("address",'damages-1990'!$K$86)</f>
        <v>IRN / beta2dist in '[BHM betas v3pd.xlsx]damages-1990'!$K$86</v>
      </c>
      <c r="B171" s="6">
        <v>-0.40310862441395001</v>
      </c>
      <c r="C171" s="5">
        <v>0.62432436233652</v>
      </c>
      <c r="D171" s="5">
        <v>-5.6300986476512403E-2</v>
      </c>
      <c r="E171" s="5">
        <v>0.25127663156504698</v>
      </c>
      <c r="F171" s="5">
        <v>-0.12440518543330099</v>
      </c>
      <c r="G171" s="5">
        <v>0.16778242214771399</v>
      </c>
      <c r="H171" s="5">
        <v>-1.9282986586649099E-2</v>
      </c>
      <c r="I171" s="5">
        <v>-0.111919481228271</v>
      </c>
      <c r="J171" s="5">
        <v>-0.32271669856837498</v>
      </c>
      <c r="K171" s="5">
        <v>0.60255124257605497</v>
      </c>
      <c r="L171" s="5">
        <v>-0.29266965637862902</v>
      </c>
      <c r="M171" s="5">
        <v>0.46786172183714603</v>
      </c>
      <c r="N171" s="5">
        <v>0.157859395849162</v>
      </c>
      <c r="O171" s="5">
        <v>-0.32158179900274397</v>
      </c>
      <c r="P171" s="5">
        <v>0.130879325584773</v>
      </c>
      <c r="Q171" s="5">
        <v>1.0204822458931E-2</v>
      </c>
      <c r="R171" s="5">
        <v>1.7877769258400799E-2</v>
      </c>
      <c r="S171" s="5">
        <v>0.13916791893711999</v>
      </c>
      <c r="T171" s="5">
        <v>-0.101024385504067</v>
      </c>
      <c r="U171" s="5">
        <v>3.4074934145508502E-2</v>
      </c>
      <c r="V171" s="5">
        <v>-0.17910218257791199</v>
      </c>
      <c r="W171" s="5">
        <v>0.250399555476161</v>
      </c>
      <c r="X171" s="5">
        <v>1.7316223474102999E-2</v>
      </c>
      <c r="Y171" s="5">
        <v>0.16584772225636801</v>
      </c>
      <c r="Z171" s="5">
        <v>-4.4453692247647301E-2</v>
      </c>
      <c r="AA171" s="5">
        <v>4.37392484312991E-3</v>
      </c>
      <c r="AB171" s="5">
        <v>-0.13271901391683799</v>
      </c>
      <c r="AC171" s="5">
        <v>0.31722919884082201</v>
      </c>
      <c r="AD171" s="5">
        <v>-0.26180468580320199</v>
      </c>
      <c r="AE171" s="5">
        <v>0.41380424023670898</v>
      </c>
      <c r="AF171" s="5">
        <v>3.2777813614440002E-2</v>
      </c>
      <c r="AG171" s="5">
        <v>0.18600484914693399</v>
      </c>
      <c r="AH171" s="5">
        <v>-0.111835460742189</v>
      </c>
      <c r="AI171" s="5">
        <v>0.119854641766314</v>
      </c>
      <c r="AJ171" s="5">
        <v>-0.367264693039834</v>
      </c>
      <c r="AK171" s="5">
        <v>0.657690946192098</v>
      </c>
      <c r="AL171" s="5">
        <v>0.35831570344902802</v>
      </c>
      <c r="AM171" s="5">
        <v>-0.28781640970349398</v>
      </c>
      <c r="AN171" s="5">
        <v>-9.6238908174812399E-2</v>
      </c>
      <c r="AO171" s="5">
        <v>6.2326220056004598E-2</v>
      </c>
      <c r="AP171" s="5">
        <v>-0.26899621559981002</v>
      </c>
      <c r="AQ171" s="5">
        <v>0.241010207237322</v>
      </c>
      <c r="AR171" s="5">
        <v>0.112506215062148</v>
      </c>
      <c r="AS171" s="5">
        <v>1.6065778154286101E-2</v>
      </c>
      <c r="AT171" s="5">
        <v>0.230782884882414</v>
      </c>
      <c r="AU171" s="5">
        <v>-0.10290859452079699</v>
      </c>
      <c r="AV171" s="5">
        <v>0.109862660454584</v>
      </c>
      <c r="AW171" s="5">
        <v>3.2168688662233401E-2</v>
      </c>
      <c r="AX171" s="5">
        <v>6.9711898293762203E-2</v>
      </c>
      <c r="AY171" s="5">
        <v>8.8894849059475506E-2</v>
      </c>
      <c r="AZ171" s="5">
        <v>-8.9189483891375002E-2</v>
      </c>
      <c r="BA171" s="5">
        <v>0.217605649048316</v>
      </c>
      <c r="BB171" s="5">
        <v>-0.106708789978811</v>
      </c>
      <c r="BC171" s="5">
        <v>0.366513783045538</v>
      </c>
      <c r="BD171" s="5">
        <v>-0.23148523734712101</v>
      </c>
      <c r="BE171" s="5">
        <v>0.34975939672616502</v>
      </c>
      <c r="BF171" s="5">
        <v>-7.10133758945969E-2</v>
      </c>
      <c r="BG171" s="5">
        <v>0.24579803015167101</v>
      </c>
      <c r="BH171" s="5">
        <v>-0.12042392717488599</v>
      </c>
      <c r="BI171" s="5">
        <v>0.33251971934903701</v>
      </c>
      <c r="BJ171" s="5">
        <v>-0.20843959542525201</v>
      </c>
      <c r="BK171" s="5">
        <v>1.68282248602756E-2</v>
      </c>
      <c r="BL171" s="5">
        <v>-0.104500491750292</v>
      </c>
      <c r="BM171" s="5">
        <v>2.0814036704838899E-4</v>
      </c>
      <c r="BN171" s="5">
        <v>5.3565744077165999E-4</v>
      </c>
      <c r="BO171" s="5">
        <v>-0.13530214482092001</v>
      </c>
      <c r="BP171" s="5">
        <v>-0.16255044562998799</v>
      </c>
      <c r="BQ171" s="5">
        <v>0.10146435519673901</v>
      </c>
      <c r="BR171" s="5">
        <v>-0.139929708154205</v>
      </c>
      <c r="BS171" s="5">
        <v>0.32685940185728501</v>
      </c>
      <c r="BT171" s="5">
        <v>-9.5138449458224306E-2</v>
      </c>
      <c r="BU171" s="5">
        <v>0.34210349256038303</v>
      </c>
      <c r="BV171" s="5">
        <v>-0.104532588855251</v>
      </c>
      <c r="BW171" s="5">
        <v>0.31583686011659601</v>
      </c>
      <c r="BX171" s="5">
        <v>-0.103519899008815</v>
      </c>
      <c r="BY171" s="5">
        <v>0.298942057423429</v>
      </c>
      <c r="BZ171" s="5">
        <v>2.12430654940052E-2</v>
      </c>
      <c r="CA171" s="5">
        <v>0.13180887857478399</v>
      </c>
      <c r="CB171" s="5">
        <v>0.33709228090110599</v>
      </c>
      <c r="CC171" s="5">
        <v>-0.20145812183989401</v>
      </c>
      <c r="CD171" s="5">
        <v>-5.0144843908497799E-2</v>
      </c>
      <c r="CE171" s="5">
        <v>0.11505108466281699</v>
      </c>
      <c r="CF171" s="5">
        <v>6.4024255760168805E-2</v>
      </c>
      <c r="CG171" s="5">
        <v>4.71734844108345E-2</v>
      </c>
      <c r="CH171" s="5">
        <v>0.37025711463793998</v>
      </c>
      <c r="CI171" s="5">
        <v>-0.29477208631782498</v>
      </c>
      <c r="CJ171" s="5">
        <v>-7.8599604934149095E-2</v>
      </c>
      <c r="CK171" s="5">
        <v>0.22460896017008999</v>
      </c>
      <c r="CL171" s="5">
        <v>-9.0110149418618099E-2</v>
      </c>
      <c r="CM171" s="5">
        <v>4.5750335743458298E-2</v>
      </c>
      <c r="CN171" s="5">
        <v>-6.6429402807822405E-2</v>
      </c>
      <c r="CO171" s="5">
        <v>2.1985602934116801E-2</v>
      </c>
      <c r="CP171" s="5">
        <v>-0.27842922414168297</v>
      </c>
      <c r="CQ171" s="5">
        <v>0.39010477508055502</v>
      </c>
      <c r="CR171" s="5">
        <v>0.11962494330128</v>
      </c>
      <c r="CS171" s="5">
        <v>6.4789523832603302E-3</v>
      </c>
      <c r="CT171" s="5">
        <v>-0.111164499752476</v>
      </c>
      <c r="CU171" s="5">
        <v>8.1808743665238604E-2</v>
      </c>
      <c r="CV171" s="5">
        <v>9.6896560786766894E-2</v>
      </c>
      <c r="CW171" s="5">
        <v>2.83109945590179E-2</v>
      </c>
      <c r="CX171" s="5">
        <v>-0.25171840937764101</v>
      </c>
      <c r="CY171" s="5">
        <v>0.470289076463485</v>
      </c>
      <c r="CZ171" s="5">
        <v>0.123115961652429</v>
      </c>
      <c r="DA171" s="5">
        <v>-1.94359535231785E-3</v>
      </c>
      <c r="DB171" s="5">
        <v>-2.5078159729763301E-2</v>
      </c>
      <c r="DC171" s="5">
        <v>0.222904530223627</v>
      </c>
      <c r="DD171" s="5">
        <v>-0.33121198365897803</v>
      </c>
      <c r="DE171" s="5">
        <v>0.45241514769672603</v>
      </c>
      <c r="DF171" s="5">
        <v>-8.98124894093522E-2</v>
      </c>
      <c r="DG171" s="5">
        <v>0.25869861127707999</v>
      </c>
      <c r="DH171" s="5">
        <v>-0.10623175139399001</v>
      </c>
      <c r="DI171" s="5">
        <v>0.209040363391613</v>
      </c>
      <c r="DJ171" s="5">
        <v>-0.270252236545997</v>
      </c>
      <c r="DK171" s="5">
        <v>0.236795909489287</v>
      </c>
      <c r="DL171" s="5">
        <v>-9.57461901515268E-2</v>
      </c>
      <c r="DM171" s="5">
        <v>0.29819597205619702</v>
      </c>
      <c r="DN171" s="5">
        <v>-0.26980420245391101</v>
      </c>
      <c r="DO171" s="5">
        <v>0.22392718693418001</v>
      </c>
      <c r="DP171" s="5">
        <v>-8.7165296304375306E-2</v>
      </c>
      <c r="DQ171" s="5">
        <v>0.28293648150858502</v>
      </c>
      <c r="DR171" s="5">
        <v>-6.5368076504104297E-2</v>
      </c>
      <c r="DS171" s="5">
        <v>6.5556082600340695E-2</v>
      </c>
      <c r="DT171" s="5">
        <v>-0.20198531374287801</v>
      </c>
      <c r="DU171" s="5">
        <v>0.29361048406843798</v>
      </c>
      <c r="DV171" s="5">
        <v>-2.47924606127084E-2</v>
      </c>
      <c r="DW171" s="5">
        <v>0.18567095808404299</v>
      </c>
      <c r="DX171" s="5">
        <v>-0.134352787260928</v>
      </c>
      <c r="DY171" s="5">
        <v>9.7964453699061801E-2</v>
      </c>
      <c r="DZ171" s="5">
        <v>1.81528590698916E-2</v>
      </c>
      <c r="EA171" s="5">
        <v>-0.143103049213719</v>
      </c>
      <c r="EB171" s="5">
        <v>-0.155393876491738</v>
      </c>
      <c r="EC171" s="5">
        <v>0.32263824431513499</v>
      </c>
      <c r="ED171" s="5">
        <v>-0.15441652910484199</v>
      </c>
      <c r="EE171" s="5">
        <v>0.33846352131204099</v>
      </c>
      <c r="EF171" s="5">
        <v>0.107160293143888</v>
      </c>
      <c r="EG171" s="5">
        <v>1.95902309607363E-2</v>
      </c>
      <c r="EH171" s="5">
        <v>-0.15664594016286301</v>
      </c>
      <c r="EI171" s="5">
        <v>0.34899210306988698</v>
      </c>
      <c r="EJ171" s="5">
        <v>-0.22057404667497399</v>
      </c>
      <c r="EK171" s="5">
        <v>0.38931690662280199</v>
      </c>
      <c r="EL171" s="5">
        <v>3.4340056576851997E-2</v>
      </c>
      <c r="EM171" s="5">
        <v>0.158737236736194</v>
      </c>
      <c r="EN171" s="5">
        <v>-0.14455590820018399</v>
      </c>
      <c r="EO171" s="5">
        <v>0.22105613668972299</v>
      </c>
      <c r="EP171" s="5">
        <v>-7.7868241634432497E-2</v>
      </c>
      <c r="EQ171" s="5">
        <v>0.176603094700855</v>
      </c>
      <c r="ER171" s="5">
        <v>3.8984950319391497E-2</v>
      </c>
      <c r="ES171" s="5">
        <v>9.1085310506225106E-2</v>
      </c>
      <c r="ET171" s="5">
        <v>0.13699747306023599</v>
      </c>
      <c r="EU171" s="5">
        <v>2.8984257577796799E-2</v>
      </c>
      <c r="EV171" s="5">
        <v>5.7992004684698797E-2</v>
      </c>
      <c r="EW171" s="5">
        <v>0.11270777758346601</v>
      </c>
      <c r="EX171" s="5">
        <v>0.28271101651003999</v>
      </c>
      <c r="EY171" s="5">
        <v>-0.139481585551915</v>
      </c>
      <c r="EZ171" s="5">
        <v>1.03780281665564E-2</v>
      </c>
      <c r="FA171" s="5">
        <v>0.16964555920537899</v>
      </c>
      <c r="FB171" s="5">
        <v>-7.5299006457107395E-2</v>
      </c>
      <c r="FC171" s="5">
        <v>8.5244992353121898E-2</v>
      </c>
      <c r="FD171" s="5">
        <v>0.19707785485902901</v>
      </c>
      <c r="FE171" s="5">
        <v>-7.1565954029521706E-2</v>
      </c>
      <c r="FF171" s="5">
        <v>-9.3392648941964002E-2</v>
      </c>
      <c r="FG171" s="5">
        <v>9.7543375501058294E-2</v>
      </c>
      <c r="FH171" s="5">
        <v>8.5843802138492006E-2</v>
      </c>
      <c r="FI171" s="5">
        <v>0.129017159480735</v>
      </c>
      <c r="FJ171" s="5">
        <v>-8.3761876595566304E-2</v>
      </c>
      <c r="FK171" s="5">
        <v>0.31932687577360602</v>
      </c>
      <c r="FL171" s="5">
        <v>-0.12951221092061499</v>
      </c>
      <c r="FM171" s="5">
        <v>8.6631299647586701E-2</v>
      </c>
      <c r="FN171" s="5">
        <v>-0.73484524260357897</v>
      </c>
      <c r="FO171" s="5">
        <v>1</v>
      </c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</row>
    <row r="172" spans="1:389" x14ac:dyDescent="0.45">
      <c r="A172" s="4" t="str">
        <f ca="1">"IRQ / beta1dist in "&amp;CELL("address",'damages-1990'!$J$87)</f>
        <v>IRQ / beta1dist in '[BHM betas v3pd.xlsx]damages-1990'!$J$87</v>
      </c>
      <c r="B172" s="6">
        <v>0.36342526447683998</v>
      </c>
      <c r="C172" s="5">
        <v>-1.34084847120282E-2</v>
      </c>
      <c r="D172" s="5">
        <v>0.36738342050399098</v>
      </c>
      <c r="E172" s="5">
        <v>-5.8640728663358404E-3</v>
      </c>
      <c r="F172" s="5">
        <v>0.207972644611194</v>
      </c>
      <c r="G172" s="5">
        <v>6.3692561430657393E-2</v>
      </c>
      <c r="H172" s="5">
        <v>-0.249363958779283</v>
      </c>
      <c r="I172" s="5">
        <v>0.297681388556437</v>
      </c>
      <c r="J172" s="5">
        <v>0.663066497332506</v>
      </c>
      <c r="K172" s="5">
        <v>-0.37628017884484899</v>
      </c>
      <c r="L172" s="5">
        <v>0.50338502816874997</v>
      </c>
      <c r="M172" s="5">
        <v>-0.17980563588682899</v>
      </c>
      <c r="N172" s="5">
        <v>-0.335393610034948</v>
      </c>
      <c r="O172" s="5">
        <v>0.48108278529158399</v>
      </c>
      <c r="P172" s="5">
        <v>0.108335977082195</v>
      </c>
      <c r="Q172" s="5">
        <v>2.6957798453845799E-2</v>
      </c>
      <c r="R172" s="5">
        <v>0.48259814459886202</v>
      </c>
      <c r="S172" s="5">
        <v>-0.13899181662534199</v>
      </c>
      <c r="T172" s="5">
        <v>-0.19410827155709201</v>
      </c>
      <c r="U172" s="5">
        <v>0.26179418153806999</v>
      </c>
      <c r="V172" s="5">
        <v>0.32162211121388001</v>
      </c>
      <c r="W172" s="5">
        <v>9.1069513742916594E-2</v>
      </c>
      <c r="X172" s="5">
        <v>0.37080140843991799</v>
      </c>
      <c r="Y172" s="5">
        <v>-2.9740131139705299E-2</v>
      </c>
      <c r="Z172" s="5">
        <v>-6.2636715438998306E-2</v>
      </c>
      <c r="AA172" s="5">
        <v>0.24042702248808601</v>
      </c>
      <c r="AB172" s="5">
        <v>0.38825591223864703</v>
      </c>
      <c r="AC172" s="5">
        <v>-0.161951009382302</v>
      </c>
      <c r="AD172" s="5">
        <v>0.49385198229140598</v>
      </c>
      <c r="AE172" s="5">
        <v>-0.23009816743934799</v>
      </c>
      <c r="AF172" s="5">
        <v>0.37378149271418498</v>
      </c>
      <c r="AG172" s="5">
        <v>-0.130051689589916</v>
      </c>
      <c r="AH172" s="5">
        <v>8.1584078659685699E-2</v>
      </c>
      <c r="AI172" s="5">
        <v>0.17347109752982801</v>
      </c>
      <c r="AJ172" s="5">
        <v>0.70235755094199803</v>
      </c>
      <c r="AK172" s="5">
        <v>-0.42978726293615399</v>
      </c>
      <c r="AL172" s="5">
        <v>0.229792490257963</v>
      </c>
      <c r="AM172" s="5">
        <v>-3.9530521399843498E-2</v>
      </c>
      <c r="AN172" s="5">
        <v>-6.3759865124491E-2</v>
      </c>
      <c r="AO172" s="5">
        <v>0.23957890175785801</v>
      </c>
      <c r="AP172" s="5">
        <v>-5.89199862879538E-2</v>
      </c>
      <c r="AQ172" s="5">
        <v>8.4311654231021105E-2</v>
      </c>
      <c r="AR172" s="5">
        <v>0.40875412337381001</v>
      </c>
      <c r="AS172" s="5">
        <v>-0.14655591964239201</v>
      </c>
      <c r="AT172" s="5">
        <v>0.1760768587806</v>
      </c>
      <c r="AU172" s="5">
        <v>2.8599273912995299E-2</v>
      </c>
      <c r="AV172" s="5">
        <v>0.514970754946936</v>
      </c>
      <c r="AW172" s="5">
        <v>-0.19858962151118401</v>
      </c>
      <c r="AX172" s="5">
        <v>0.50613951078136499</v>
      </c>
      <c r="AY172" s="5">
        <v>-0.17356696974958399</v>
      </c>
      <c r="AZ172" s="5">
        <v>0.23508108663616301</v>
      </c>
      <c r="BA172" s="5">
        <v>-0.122680791706461</v>
      </c>
      <c r="BB172" s="5">
        <v>0.50262204904418095</v>
      </c>
      <c r="BC172" s="5">
        <v>-0.20102854161349201</v>
      </c>
      <c r="BD172" s="5">
        <v>0.18905617974606301</v>
      </c>
      <c r="BE172" s="5">
        <v>0.14191844312045199</v>
      </c>
      <c r="BF172" s="5">
        <v>0.34023664272461501</v>
      </c>
      <c r="BG172" s="5">
        <v>-3.8594111944660101E-2</v>
      </c>
      <c r="BH172" s="5">
        <v>0.49467294429810099</v>
      </c>
      <c r="BI172" s="5">
        <v>-0.19751642744138301</v>
      </c>
      <c r="BJ172" s="5">
        <v>-0.217037270261767</v>
      </c>
      <c r="BK172" s="5">
        <v>0.13811869393857801</v>
      </c>
      <c r="BL172" s="5">
        <v>-0.22587978430570299</v>
      </c>
      <c r="BM172" s="5">
        <v>0.29379382276976901</v>
      </c>
      <c r="BN172" s="5">
        <v>-1.6575624785284002E-2</v>
      </c>
      <c r="BO172" s="5">
        <v>0.15111561593956599</v>
      </c>
      <c r="BP172" s="5">
        <v>-7.2353664377903998E-2</v>
      </c>
      <c r="BQ172" s="5">
        <v>0.212435200664056</v>
      </c>
      <c r="BR172" s="5">
        <v>0.42718748864365003</v>
      </c>
      <c r="BS172" s="5">
        <v>-0.19343609873159801</v>
      </c>
      <c r="BT172" s="5">
        <v>0.56976324507933096</v>
      </c>
      <c r="BU172" s="5">
        <v>-0.28810509542888901</v>
      </c>
      <c r="BV172" s="5">
        <v>0.500789704001945</v>
      </c>
      <c r="BW172" s="5">
        <v>-0.18666112686439901</v>
      </c>
      <c r="BX172" s="5">
        <v>0.44855106235119202</v>
      </c>
      <c r="BY172" s="5">
        <v>-0.18766881004376301</v>
      </c>
      <c r="BZ172" s="5">
        <v>0.44604725684868701</v>
      </c>
      <c r="CA172" s="5">
        <v>-0.128941549754648</v>
      </c>
      <c r="CB172" s="5">
        <v>0.15995371574339601</v>
      </c>
      <c r="CC172" s="5">
        <v>1.83738623353414E-3</v>
      </c>
      <c r="CD172" s="5">
        <v>0.118435049852385</v>
      </c>
      <c r="CE172" s="5">
        <v>9.0253259228188901E-2</v>
      </c>
      <c r="CF172" s="5">
        <v>0.28935672262159601</v>
      </c>
      <c r="CG172" s="5">
        <v>-7.9911851606704706E-2</v>
      </c>
      <c r="CH172" s="5">
        <v>0.185899132163413</v>
      </c>
      <c r="CI172" s="5">
        <v>-1.31994309518001E-2</v>
      </c>
      <c r="CJ172" s="5">
        <v>0.592979714003947</v>
      </c>
      <c r="CK172" s="5">
        <v>-0.38126845109678997</v>
      </c>
      <c r="CL172" s="5">
        <v>-0.11690505365547101</v>
      </c>
      <c r="CM172" s="5">
        <v>0.22338229132680201</v>
      </c>
      <c r="CN172" s="5">
        <v>-8.4174703217863106E-2</v>
      </c>
      <c r="CO172" s="5">
        <v>0.22534302617388599</v>
      </c>
      <c r="CP172" s="5">
        <v>0.41518334756636299</v>
      </c>
      <c r="CQ172" s="5">
        <v>-0.200686526737406</v>
      </c>
      <c r="CR172" s="5">
        <v>0.14980458680533101</v>
      </c>
      <c r="CS172" s="5">
        <v>-5.0256355556892096E-3</v>
      </c>
      <c r="CT172" s="5">
        <v>-4.2268468269558199E-2</v>
      </c>
      <c r="CU172" s="5">
        <v>9.4917514938816602E-2</v>
      </c>
      <c r="CV172" s="5">
        <v>0.25472325965308501</v>
      </c>
      <c r="CW172" s="5">
        <v>-6.9907177554130895E-2</v>
      </c>
      <c r="CX172" s="5">
        <v>0.65614657552525701</v>
      </c>
      <c r="CY172" s="5">
        <v>-0.34763265716029601</v>
      </c>
      <c r="CZ172" s="5">
        <v>0.31503016108096299</v>
      </c>
      <c r="DA172" s="5">
        <v>7.3014629026133399E-3</v>
      </c>
      <c r="DB172" s="5">
        <v>0.59619753233501505</v>
      </c>
      <c r="DC172" s="5">
        <v>-0.26496620661299602</v>
      </c>
      <c r="DD172" s="5">
        <v>0.44877428036108602</v>
      </c>
      <c r="DE172" s="5">
        <v>-0.17245454496957799</v>
      </c>
      <c r="DF172" s="5">
        <v>0.43568408916041002</v>
      </c>
      <c r="DG172" s="5">
        <v>-0.149741413776179</v>
      </c>
      <c r="DH172" s="5">
        <v>0.31358633745793102</v>
      </c>
      <c r="DI172" s="5">
        <v>-2.9754917410605699E-3</v>
      </c>
      <c r="DJ172" s="5">
        <v>-2.4183999233238399E-2</v>
      </c>
      <c r="DK172" s="5">
        <v>1.2324856604097699E-2</v>
      </c>
      <c r="DL172" s="5">
        <v>0.37717321820894001</v>
      </c>
      <c r="DM172" s="5">
        <v>-8.2032130898412298E-2</v>
      </c>
      <c r="DN172" s="5">
        <v>-9.1109316792763698E-2</v>
      </c>
      <c r="DO172" s="5">
        <v>1.3576111661441801E-2</v>
      </c>
      <c r="DP172" s="5">
        <v>0.38716718011678902</v>
      </c>
      <c r="DQ172" s="5">
        <v>-0.15257263953587799</v>
      </c>
      <c r="DR172" s="5">
        <v>6.8094558491290397E-2</v>
      </c>
      <c r="DS172" s="5">
        <v>0.18150185348655601</v>
      </c>
      <c r="DT172" s="5">
        <v>0.370869760370798</v>
      </c>
      <c r="DU172" s="5">
        <v>-0.211537242573171</v>
      </c>
      <c r="DV172" s="5">
        <v>0.25941096498768001</v>
      </c>
      <c r="DW172" s="5">
        <v>-2.3227391756929502E-2</v>
      </c>
      <c r="DX172" s="5">
        <v>-6.1984684199859003E-2</v>
      </c>
      <c r="DY172" s="5">
        <v>0.12937137905173099</v>
      </c>
      <c r="DZ172" s="5">
        <v>-0.27229013295466298</v>
      </c>
      <c r="EA172" s="5">
        <v>0.45340222969071198</v>
      </c>
      <c r="EB172" s="5">
        <v>0.46343111226367401</v>
      </c>
      <c r="EC172" s="5">
        <v>-0.199950343166481</v>
      </c>
      <c r="ED172" s="5">
        <v>0.47866191212403603</v>
      </c>
      <c r="EE172" s="5">
        <v>-0.19606078636155899</v>
      </c>
      <c r="EF172" s="5">
        <v>0.129313762197768</v>
      </c>
      <c r="EG172" s="5">
        <v>7.4228547552304897E-3</v>
      </c>
      <c r="EH172" s="5">
        <v>0.479303803027604</v>
      </c>
      <c r="EI172" s="5">
        <v>-0.16434622987470701</v>
      </c>
      <c r="EJ172" s="5">
        <v>0.51122474438911503</v>
      </c>
      <c r="EK172" s="5">
        <v>-0.181639713397172</v>
      </c>
      <c r="EL172" s="5">
        <v>0.50789116944674895</v>
      </c>
      <c r="EM172" s="5">
        <v>-0.26700211604152302</v>
      </c>
      <c r="EN172" s="5">
        <v>0.49638008799296002</v>
      </c>
      <c r="EO172" s="5">
        <v>-0.23036311174742299</v>
      </c>
      <c r="EP172" s="5">
        <v>0.23119380718993399</v>
      </c>
      <c r="EQ172" s="5">
        <v>-8.3949397508361001E-2</v>
      </c>
      <c r="ER172" s="5">
        <v>0.42278487002953802</v>
      </c>
      <c r="ES172" s="5">
        <v>-0.107527750989828</v>
      </c>
      <c r="ET172" s="5">
        <v>0.27779634104097201</v>
      </c>
      <c r="EU172" s="5">
        <v>-2.46817847455328E-2</v>
      </c>
      <c r="EV172" s="5">
        <v>0.398444156193279</v>
      </c>
      <c r="EW172" s="5">
        <v>-0.15595716569535401</v>
      </c>
      <c r="EX172" s="5">
        <v>0.169709216475636</v>
      </c>
      <c r="EY172" s="5">
        <v>7.5916140961947598E-2</v>
      </c>
      <c r="EZ172" s="5">
        <v>0.42485178124974998</v>
      </c>
      <c r="FA172" s="5">
        <v>-0.14928706468216599</v>
      </c>
      <c r="FB172" s="5">
        <v>9.7957269484254594E-2</v>
      </c>
      <c r="FC172" s="5">
        <v>0.15205550611138399</v>
      </c>
      <c r="FD172" s="5">
        <v>0.27266832398850799</v>
      </c>
      <c r="FE172" s="5">
        <v>-8.0255698877457496E-2</v>
      </c>
      <c r="FF172" s="5">
        <v>4.6238376638980998E-2</v>
      </c>
      <c r="FG172" s="5">
        <v>0.163581350749928</v>
      </c>
      <c r="FH172" s="5">
        <v>0.54195277616887005</v>
      </c>
      <c r="FI172" s="5">
        <v>-0.38430097134833302</v>
      </c>
      <c r="FJ172" s="5">
        <v>0.31331650662785898</v>
      </c>
      <c r="FK172" s="5">
        <v>5.5150657933639199E-2</v>
      </c>
      <c r="FL172" s="5">
        <v>-8.0912763982768001E-3</v>
      </c>
      <c r="FM172" s="5">
        <v>7.6042709300912101E-2</v>
      </c>
      <c r="FN172" s="5">
        <v>0.68352992427495896</v>
      </c>
      <c r="FO172" s="5">
        <v>-0.361633427373663</v>
      </c>
      <c r="FP172" s="5">
        <v>1</v>
      </c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</row>
    <row r="173" spans="1:389" x14ac:dyDescent="0.45">
      <c r="A173" s="4" t="str">
        <f ca="1">"IRQ / beta2dist in "&amp;CELL("address",'damages-1990'!$K$87)</f>
        <v>IRQ / beta2dist in '[BHM betas v3pd.xlsx]damages-1990'!$K$87</v>
      </c>
      <c r="B173" s="6">
        <v>-0.19137165473071699</v>
      </c>
      <c r="C173" s="5">
        <v>0.28796666838793</v>
      </c>
      <c r="D173" s="5">
        <v>3.0427908619716001E-2</v>
      </c>
      <c r="E173" s="5">
        <v>3.69897989659701E-2</v>
      </c>
      <c r="F173" s="5">
        <v>-7.8045408319873194E-2</v>
      </c>
      <c r="G173" s="5">
        <v>0.120335665127891</v>
      </c>
      <c r="H173" s="5">
        <v>0.105293306456474</v>
      </c>
      <c r="I173" s="5">
        <v>-0.204823564159333</v>
      </c>
      <c r="J173" s="5">
        <v>-0.339547561037432</v>
      </c>
      <c r="K173" s="5">
        <v>0.50640695626528398</v>
      </c>
      <c r="L173" s="5">
        <v>-0.21097176467013901</v>
      </c>
      <c r="M173" s="5">
        <v>0.29269198848114802</v>
      </c>
      <c r="N173" s="5">
        <v>0.406943771850585</v>
      </c>
      <c r="O173" s="5">
        <v>-0.58185860299950698</v>
      </c>
      <c r="P173" s="5">
        <v>0.120505867749458</v>
      </c>
      <c r="Q173" s="5">
        <v>7.4840505957310798E-3</v>
      </c>
      <c r="R173" s="5">
        <v>-9.9309856048890102E-2</v>
      </c>
      <c r="S173" s="5">
        <v>0.17967862066746601</v>
      </c>
      <c r="T173" s="5">
        <v>0.123758805047054</v>
      </c>
      <c r="U173" s="5">
        <v>-0.194315114607408</v>
      </c>
      <c r="V173" s="5">
        <v>-0.112091959832824</v>
      </c>
      <c r="W173" s="5">
        <v>0.10354625941025999</v>
      </c>
      <c r="X173" s="5">
        <v>2.1640542021809601E-2</v>
      </c>
      <c r="Y173" s="5">
        <v>6.1818267452229902E-2</v>
      </c>
      <c r="Z173" s="5">
        <v>8.00572902907601E-2</v>
      </c>
      <c r="AA173" s="5">
        <v>-0.13151567905929401</v>
      </c>
      <c r="AB173" s="5">
        <v>-0.122673769389416</v>
      </c>
      <c r="AC173" s="5">
        <v>0.21966371035323701</v>
      </c>
      <c r="AD173" s="5">
        <v>-0.29503303909950801</v>
      </c>
      <c r="AE173" s="5">
        <v>0.36824136896035697</v>
      </c>
      <c r="AF173" s="5">
        <v>-5.1286757431195703E-3</v>
      </c>
      <c r="AG173" s="5">
        <v>0.11349746544041101</v>
      </c>
      <c r="AH173" s="5">
        <v>6.2507856661245696E-3</v>
      </c>
      <c r="AI173" s="5">
        <v>-1.0077982520279E-2</v>
      </c>
      <c r="AJ173" s="5">
        <v>-0.44292162361383203</v>
      </c>
      <c r="AK173" s="5">
        <v>0.61943746389051901</v>
      </c>
      <c r="AL173" s="5">
        <v>0.14672236199715799</v>
      </c>
      <c r="AM173" s="5">
        <v>-0.107477298625561</v>
      </c>
      <c r="AN173" s="5">
        <v>9.38624281697093E-2</v>
      </c>
      <c r="AO173" s="5">
        <v>-0.13292452226382701</v>
      </c>
      <c r="AP173" s="5">
        <v>-0.15056822622430899</v>
      </c>
      <c r="AQ173" s="5">
        <v>0.149167068325256</v>
      </c>
      <c r="AR173" s="5">
        <v>-1.31812991289132E-2</v>
      </c>
      <c r="AS173" s="5">
        <v>7.5257836388150895E-2</v>
      </c>
      <c r="AT173" s="5">
        <v>0.12070786585453901</v>
      </c>
      <c r="AU173" s="5">
        <v>-0.102804230799936</v>
      </c>
      <c r="AV173" s="5">
        <v>-9.2975528341415703E-2</v>
      </c>
      <c r="AW173" s="5">
        <v>0.209771924577414</v>
      </c>
      <c r="AX173" s="5">
        <v>-7.2825162083430206E-2</v>
      </c>
      <c r="AY173" s="5">
        <v>0.14908825142672699</v>
      </c>
      <c r="AZ173" s="5">
        <v>-8.9092891166931195E-3</v>
      </c>
      <c r="BA173" s="5">
        <v>0.155938028392137</v>
      </c>
      <c r="BB173" s="5">
        <v>-0.15806913831804001</v>
      </c>
      <c r="BC173" s="5">
        <v>0.29191239077960102</v>
      </c>
      <c r="BD173" s="5">
        <v>-0.13639012865326</v>
      </c>
      <c r="BE173" s="5">
        <v>0.214179444788127</v>
      </c>
      <c r="BF173" s="5">
        <v>-2.9427685343741902E-2</v>
      </c>
      <c r="BG173" s="5">
        <v>8.0029814780900502E-2</v>
      </c>
      <c r="BH173" s="5">
        <v>-9.4945814104858001E-2</v>
      </c>
      <c r="BI173" s="5">
        <v>0.20803332694538301</v>
      </c>
      <c r="BJ173" s="5">
        <v>-6.93927942328951E-2</v>
      </c>
      <c r="BK173" s="5">
        <v>-5.6253706475410101E-2</v>
      </c>
      <c r="BL173" s="5">
        <v>0.13922374193577999</v>
      </c>
      <c r="BM173" s="5">
        <v>-0.246043273778599</v>
      </c>
      <c r="BN173" s="5">
        <v>-5.1866201765540503E-3</v>
      </c>
      <c r="BO173" s="5">
        <v>-3.6322349670312497E-2</v>
      </c>
      <c r="BP173" s="5">
        <v>-9.0343979884393799E-2</v>
      </c>
      <c r="BQ173" s="5">
        <v>6.9173281366773504E-2</v>
      </c>
      <c r="BR173" s="5">
        <v>-0.21953081745606701</v>
      </c>
      <c r="BS173" s="5">
        <v>0.31144341946519599</v>
      </c>
      <c r="BT173" s="5">
        <v>-0.179629112184716</v>
      </c>
      <c r="BU173" s="5">
        <v>0.32962498247902799</v>
      </c>
      <c r="BV173" s="5">
        <v>-0.13665544187637499</v>
      </c>
      <c r="BW173" s="5">
        <v>0.24806129543286701</v>
      </c>
      <c r="BX173" s="5">
        <v>-0.124388833136335</v>
      </c>
      <c r="BY173" s="5">
        <v>0.23840163725099001</v>
      </c>
      <c r="BZ173" s="5">
        <v>-8.3950483128561001E-2</v>
      </c>
      <c r="CA173" s="5">
        <v>0.134979382719152</v>
      </c>
      <c r="CB173" s="5">
        <v>0.15394257503137501</v>
      </c>
      <c r="CC173" s="5">
        <v>-2.3705484916700301E-2</v>
      </c>
      <c r="CD173" s="5">
        <v>0.11034209083440399</v>
      </c>
      <c r="CE173" s="5">
        <v>-7.6446657054279998E-2</v>
      </c>
      <c r="CF173" s="5">
        <v>4.3569951239463202E-2</v>
      </c>
      <c r="CG173" s="5">
        <v>1.7227721317895201E-2</v>
      </c>
      <c r="CH173" s="5">
        <v>0.203456568477171</v>
      </c>
      <c r="CI173" s="5">
        <v>-0.17165150048419001</v>
      </c>
      <c r="CJ173" s="5">
        <v>-0.395219958223819</v>
      </c>
      <c r="CK173" s="5">
        <v>0.52625603272139598</v>
      </c>
      <c r="CL173" s="5">
        <v>7.4574991118191297E-2</v>
      </c>
      <c r="CM173" s="5">
        <v>-0.13190356754097299</v>
      </c>
      <c r="CN173" s="5">
        <v>5.9244787444155199E-2</v>
      </c>
      <c r="CO173" s="5">
        <v>-0.114664005385473</v>
      </c>
      <c r="CP173" s="5">
        <v>-0.26315080056857998</v>
      </c>
      <c r="CQ173" s="5">
        <v>0.32095851328689301</v>
      </c>
      <c r="CR173" s="5">
        <v>0.10311777616442599</v>
      </c>
      <c r="CS173" s="5">
        <v>3.3026522885924101E-2</v>
      </c>
      <c r="CT173" s="5">
        <v>-2.98347022131723E-2</v>
      </c>
      <c r="CU173" s="5">
        <v>1.40416799032511E-2</v>
      </c>
      <c r="CV173" s="5">
        <v>-6.07860313023285E-2</v>
      </c>
      <c r="CW173" s="5">
        <v>0.16466836672976101</v>
      </c>
      <c r="CX173" s="5">
        <v>-0.38814861225550301</v>
      </c>
      <c r="CY173" s="5">
        <v>0.51537270157040105</v>
      </c>
      <c r="CZ173" s="5">
        <v>6.7549083609559094E-2</v>
      </c>
      <c r="DA173" s="5">
        <v>-5.3763464621678102E-2</v>
      </c>
      <c r="DB173" s="5">
        <v>-0.25310265199021498</v>
      </c>
      <c r="DC173" s="5">
        <v>0.41683897486042598</v>
      </c>
      <c r="DD173" s="5">
        <v>-0.29224464566411701</v>
      </c>
      <c r="DE173" s="5">
        <v>0.35545618461173001</v>
      </c>
      <c r="DF173" s="5">
        <v>-8.7768580758549097E-2</v>
      </c>
      <c r="DG173" s="5">
        <v>0.155061631149224</v>
      </c>
      <c r="DH173" s="5">
        <v>-9.1688557627092604E-2</v>
      </c>
      <c r="DI173" s="5">
        <v>0.16622620434190799</v>
      </c>
      <c r="DJ173" s="5">
        <v>-0.21091371867858799</v>
      </c>
      <c r="DK173" s="5">
        <v>0.21826036789842099</v>
      </c>
      <c r="DL173" s="5">
        <v>-2.7087697565374699E-2</v>
      </c>
      <c r="DM173" s="5">
        <v>0.154194966095755</v>
      </c>
      <c r="DN173" s="5">
        <v>-0.18773468229172099</v>
      </c>
      <c r="DO173" s="5">
        <v>0.19888463054894301</v>
      </c>
      <c r="DP173" s="5">
        <v>-0.14079339382332601</v>
      </c>
      <c r="DQ173" s="5">
        <v>0.22713213271363</v>
      </c>
      <c r="DR173" s="5">
        <v>1.6942402421194502E-2</v>
      </c>
      <c r="DS173" s="5">
        <v>-3.49780427029628E-2</v>
      </c>
      <c r="DT173" s="5">
        <v>-0.24081103509258001</v>
      </c>
      <c r="DU173" s="5">
        <v>0.28291107091367701</v>
      </c>
      <c r="DV173" s="5">
        <v>-2.3708171149449599E-2</v>
      </c>
      <c r="DW173" s="5">
        <v>0.102636577033639</v>
      </c>
      <c r="DX173" s="5">
        <v>-7.1597281447266695E-2</v>
      </c>
      <c r="DY173" s="5">
        <v>7.7645790016264898E-2</v>
      </c>
      <c r="DZ173" s="5">
        <v>0.330366246118523</v>
      </c>
      <c r="EA173" s="5">
        <v>-0.50581127963787098</v>
      </c>
      <c r="EB173" s="5">
        <v>-0.20233170783348201</v>
      </c>
      <c r="EC173" s="5">
        <v>0.28938838524118399</v>
      </c>
      <c r="ED173" s="5">
        <v>-0.171308322575354</v>
      </c>
      <c r="EE173" s="5">
        <v>0.26586727563986701</v>
      </c>
      <c r="EF173" s="5">
        <v>9.5730992816600996E-2</v>
      </c>
      <c r="EG173" s="5">
        <v>2.92015655114608E-2</v>
      </c>
      <c r="EH173" s="5">
        <v>-0.15169511139148001</v>
      </c>
      <c r="EI173" s="5">
        <v>0.24655205597042201</v>
      </c>
      <c r="EJ173" s="5">
        <v>-0.21483366030989701</v>
      </c>
      <c r="EK173" s="5">
        <v>0.28677603700337201</v>
      </c>
      <c r="EL173" s="5">
        <v>-9.3708708584094899E-2</v>
      </c>
      <c r="EM173" s="5">
        <v>0.21831511131385001</v>
      </c>
      <c r="EN173" s="5">
        <v>-0.30287227866373101</v>
      </c>
      <c r="EO173" s="5">
        <v>0.38064276146558002</v>
      </c>
      <c r="EP173" s="5">
        <v>-1.5973693449095602E-2</v>
      </c>
      <c r="EQ173" s="5">
        <v>0.132602831864707</v>
      </c>
      <c r="ER173" s="5">
        <v>-2.32285047773012E-2</v>
      </c>
      <c r="ES173" s="5">
        <v>7.4033514545911797E-2</v>
      </c>
      <c r="ET173" s="5">
        <v>0.184711200922338</v>
      </c>
      <c r="EU173" s="5">
        <v>-0.10619544355130001</v>
      </c>
      <c r="EV173" s="5">
        <v>1.19039722134837E-2</v>
      </c>
      <c r="EW173" s="5">
        <v>0.102651157936179</v>
      </c>
      <c r="EX173" s="5">
        <v>0.27690017473651102</v>
      </c>
      <c r="EY173" s="5">
        <v>-0.21219923696155399</v>
      </c>
      <c r="EZ173" s="5">
        <v>-6.8006635166418805E-2</v>
      </c>
      <c r="FA173" s="5">
        <v>0.17687413616515199</v>
      </c>
      <c r="FB173" s="5">
        <v>2.4714270982074099E-2</v>
      </c>
      <c r="FC173" s="5">
        <v>-2.5420271660876102E-2</v>
      </c>
      <c r="FD173" s="5">
        <v>2.0691811846885299E-3</v>
      </c>
      <c r="FE173" s="5">
        <v>0.109987431442854</v>
      </c>
      <c r="FF173" s="5">
        <v>2.11586353916213E-2</v>
      </c>
      <c r="FG173" s="5">
        <v>-2.3699702277481999E-2</v>
      </c>
      <c r="FH173" s="5">
        <v>-0.10320235596534801</v>
      </c>
      <c r="FI173" s="5">
        <v>0.293074623049701</v>
      </c>
      <c r="FJ173" s="5">
        <v>7.8726446347617898E-2</v>
      </c>
      <c r="FK173" s="5">
        <v>2.2783575436882701E-3</v>
      </c>
      <c r="FL173" s="5">
        <v>-0.11416857136934901</v>
      </c>
      <c r="FM173" s="5">
        <v>0.13360888960752701</v>
      </c>
      <c r="FN173" s="5">
        <v>-0.45861146283326598</v>
      </c>
      <c r="FO173" s="5">
        <v>0.60602441854536504</v>
      </c>
      <c r="FP173" s="5">
        <v>-0.76548082938061501</v>
      </c>
      <c r="FQ173" s="5">
        <v>1</v>
      </c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</row>
    <row r="174" spans="1:389" x14ac:dyDescent="0.45">
      <c r="A174" s="4" t="str">
        <f ca="1">"ISL / beta1dist in "&amp;CELL("address",'damages-1990'!$J$88)</f>
        <v>ISL / beta1dist in '[BHM betas v3pd.xlsx]damages-1990'!$J$88</v>
      </c>
      <c r="B174" s="6">
        <v>0.165408507301327</v>
      </c>
      <c r="C174" s="5">
        <v>-0.159909721124222</v>
      </c>
      <c r="D174" s="5">
        <v>-0.178413789222304</v>
      </c>
      <c r="E174" s="5">
        <v>0.23117406012389799</v>
      </c>
      <c r="F174" s="5">
        <v>0.14148187865537701</v>
      </c>
      <c r="G174" s="5">
        <v>-0.108677091831707</v>
      </c>
      <c r="H174" s="5">
        <v>0.33220998276020902</v>
      </c>
      <c r="I174" s="5">
        <v>-0.23953283881448001</v>
      </c>
      <c r="J174" s="5">
        <v>-0.21455605689880999</v>
      </c>
      <c r="K174" s="5">
        <v>0.178113483212756</v>
      </c>
      <c r="L174" s="5">
        <v>-5.19067102832559E-2</v>
      </c>
      <c r="M174" s="5">
        <v>0.141068088917712</v>
      </c>
      <c r="N174" s="5">
        <v>2.31428845857207E-2</v>
      </c>
      <c r="O174" s="5">
        <v>0.141853366756092</v>
      </c>
      <c r="P174" s="5">
        <v>-0.14762568559258199</v>
      </c>
      <c r="Q174" s="5">
        <v>0.20514661047875299</v>
      </c>
      <c r="R174" s="5">
        <v>-0.149267035554532</v>
      </c>
      <c r="S174" s="5">
        <v>0.16574238054073001</v>
      </c>
      <c r="T174" s="5">
        <v>0.12841973628571601</v>
      </c>
      <c r="U174" s="5">
        <v>-1.8278116148886699E-2</v>
      </c>
      <c r="V174" s="5">
        <v>0.13445886712067201</v>
      </c>
      <c r="W174" s="5">
        <v>-0.12738522834163399</v>
      </c>
      <c r="X174" s="5">
        <v>-0.24392793080108299</v>
      </c>
      <c r="Y174" s="5">
        <v>0.288914254426963</v>
      </c>
      <c r="Z174" s="5">
        <v>0.22328882613885101</v>
      </c>
      <c r="AA174" s="5">
        <v>-0.131707957430027</v>
      </c>
      <c r="AB174" s="5">
        <v>-0.13192694154582699</v>
      </c>
      <c r="AC174" s="5">
        <v>0.19602900389014699</v>
      </c>
      <c r="AD174" s="5">
        <v>-4.5536496973578901E-2</v>
      </c>
      <c r="AE174" s="5">
        <v>8.5077335544683996E-2</v>
      </c>
      <c r="AF174" s="5">
        <v>-0.36881984018623998</v>
      </c>
      <c r="AG174" s="5">
        <v>0.372619658082678</v>
      </c>
      <c r="AH174" s="5">
        <v>0.13727644037043699</v>
      </c>
      <c r="AI174" s="5">
        <v>-7.1030289402659402E-2</v>
      </c>
      <c r="AJ174" s="5">
        <v>-0.232421511997742</v>
      </c>
      <c r="AK174" s="5">
        <v>0.16552728728798999</v>
      </c>
      <c r="AL174" s="5">
        <v>-0.127211290338092</v>
      </c>
      <c r="AM174" s="5">
        <v>8.8205047300721803E-2</v>
      </c>
      <c r="AN174" s="5">
        <v>8.4569118659339901E-2</v>
      </c>
      <c r="AO174" s="5">
        <v>3.4664661957477999E-2</v>
      </c>
      <c r="AP174" s="5">
        <v>8.5246652781488505E-2</v>
      </c>
      <c r="AQ174" s="5">
        <v>3.3154633436563698E-2</v>
      </c>
      <c r="AR174" s="5">
        <v>-0.11780369197646701</v>
      </c>
      <c r="AS174" s="5">
        <v>8.5926161598921996E-2</v>
      </c>
      <c r="AT174" s="5">
        <v>-5.4811041080869302E-2</v>
      </c>
      <c r="AU174" s="5">
        <v>-4.3793512372957401E-2</v>
      </c>
      <c r="AV174" s="5">
        <v>-0.19493032464113999</v>
      </c>
      <c r="AW174" s="5">
        <v>0.179643577821582</v>
      </c>
      <c r="AX174" s="5">
        <v>-0.25726120060943702</v>
      </c>
      <c r="AY174" s="5">
        <v>0.25595808927583102</v>
      </c>
      <c r="AZ174" s="5">
        <v>-0.18808824545053901</v>
      </c>
      <c r="BA174" s="5">
        <v>0.23648108160152001</v>
      </c>
      <c r="BB174" s="5">
        <v>-0.177226914736794</v>
      </c>
      <c r="BC174" s="5">
        <v>0.20494675288642</v>
      </c>
      <c r="BD174" s="5">
        <v>0.27338478452639098</v>
      </c>
      <c r="BE174" s="5">
        <v>-0.285945093917501</v>
      </c>
      <c r="BF174" s="5">
        <v>-3.3589044700690497E-2</v>
      </c>
      <c r="BG174" s="5">
        <v>2.21625383745334E-2</v>
      </c>
      <c r="BH174" s="5">
        <v>-0.243946965763396</v>
      </c>
      <c r="BI174" s="5">
        <v>0.32382335576951898</v>
      </c>
      <c r="BJ174" s="5">
        <v>0.25831250520590998</v>
      </c>
      <c r="BK174" s="5">
        <v>-0.175878954346771</v>
      </c>
      <c r="BL174" s="5">
        <v>0.15481080366296501</v>
      </c>
      <c r="BM174" s="5">
        <v>-3.8380583350661003E-2</v>
      </c>
      <c r="BN174" s="5">
        <v>0.35345735779277998</v>
      </c>
      <c r="BO174" s="5">
        <v>-0.35395195785372002</v>
      </c>
      <c r="BP174" s="5">
        <v>0.373273091440605</v>
      </c>
      <c r="BQ174" s="5">
        <v>-0.39854549217883201</v>
      </c>
      <c r="BR174" s="5">
        <v>-0.11711291391237</v>
      </c>
      <c r="BS174" s="5">
        <v>0.20008402343628401</v>
      </c>
      <c r="BT174" s="5">
        <v>-0.13726384486743901</v>
      </c>
      <c r="BU174" s="5">
        <v>0.20540813408242201</v>
      </c>
      <c r="BV174" s="5">
        <v>-0.20485782709383299</v>
      </c>
      <c r="BW174" s="5">
        <v>0.26014687041276202</v>
      </c>
      <c r="BX174" s="5">
        <v>-0.19296286466627499</v>
      </c>
      <c r="BY174" s="5">
        <v>0.26373819547285199</v>
      </c>
      <c r="BZ174" s="5">
        <v>-0.368767083456293</v>
      </c>
      <c r="CA174" s="5">
        <v>0.39391257978875899</v>
      </c>
      <c r="CB174" s="5">
        <v>-0.15806257400820201</v>
      </c>
      <c r="CC174" s="5">
        <v>0.167452414594701</v>
      </c>
      <c r="CD174" s="5">
        <v>8.8869263612153894E-5</v>
      </c>
      <c r="CE174" s="5">
        <v>-1.26220365890645E-2</v>
      </c>
      <c r="CF174" s="5">
        <v>-0.24512820515334899</v>
      </c>
      <c r="CG174" s="5">
        <v>0.24197767727875599</v>
      </c>
      <c r="CH174" s="5">
        <v>-1.7765427933516102E-2</v>
      </c>
      <c r="CI174" s="5">
        <v>-7.2585313628633101E-3</v>
      </c>
      <c r="CJ174" s="5">
        <v>4.75657689932662E-2</v>
      </c>
      <c r="CK174" s="5">
        <v>-0.14995826349286201</v>
      </c>
      <c r="CL174" s="5">
        <v>0.148340246338929</v>
      </c>
      <c r="CM174" s="5">
        <v>-4.3070348015401001E-2</v>
      </c>
      <c r="CN174" s="5">
        <v>0.177004689113685</v>
      </c>
      <c r="CO174" s="5">
        <v>-7.6193022875547994E-2</v>
      </c>
      <c r="CP174" s="5">
        <v>-0.49603260203821598</v>
      </c>
      <c r="CQ174" s="5">
        <v>0.45913498550673498</v>
      </c>
      <c r="CR174" s="5">
        <v>-0.11230734966734</v>
      </c>
      <c r="CS174" s="5">
        <v>0.184156578160103</v>
      </c>
      <c r="CT174" s="5">
        <v>0.13740271660061701</v>
      </c>
      <c r="CU174" s="5">
        <v>-2.6263692339628799E-2</v>
      </c>
      <c r="CV174" s="5">
        <v>3.3488451985150998E-3</v>
      </c>
      <c r="CW174" s="5">
        <v>6.0558845714224201E-2</v>
      </c>
      <c r="CX174" s="5">
        <v>-7.0393162565777795E-2</v>
      </c>
      <c r="CY174" s="5">
        <v>3.5120723161910797E-2</v>
      </c>
      <c r="CZ174" s="5">
        <v>-0.33648496318284499</v>
      </c>
      <c r="DA174" s="5">
        <v>0.33637416284639399</v>
      </c>
      <c r="DB174" s="5">
        <v>-6.3661101977395496E-2</v>
      </c>
      <c r="DC174" s="5">
        <v>-6.2418689696155098E-2</v>
      </c>
      <c r="DD174" s="5">
        <v>-0.30430575067022297</v>
      </c>
      <c r="DE174" s="5">
        <v>0.32269622007079701</v>
      </c>
      <c r="DF174" s="5">
        <v>-0.20946635585162701</v>
      </c>
      <c r="DG174" s="5">
        <v>0.205416680034021</v>
      </c>
      <c r="DH174" s="5">
        <v>0.11034206261447201</v>
      </c>
      <c r="DI174" s="5">
        <v>-9.4343044333369805E-2</v>
      </c>
      <c r="DJ174" s="5">
        <v>0.16215445532251299</v>
      </c>
      <c r="DK174" s="5">
        <v>-6.8296691459446598E-2</v>
      </c>
      <c r="DL174" s="5">
        <v>-0.40855183953534402</v>
      </c>
      <c r="DM174" s="5">
        <v>0.455867940952212</v>
      </c>
      <c r="DN174" s="5">
        <v>0.23872247033257499</v>
      </c>
      <c r="DO174" s="5">
        <v>-0.12701238171211099</v>
      </c>
      <c r="DP174" s="5">
        <v>3.5144185604882301E-3</v>
      </c>
      <c r="DQ174" s="5">
        <v>-1.3030800550857501E-2</v>
      </c>
      <c r="DR174" s="5">
        <v>0.23385474960581601</v>
      </c>
      <c r="DS174" s="5">
        <v>-0.18871225057034699</v>
      </c>
      <c r="DT174" s="5">
        <v>-0.38896263690738803</v>
      </c>
      <c r="DU174" s="5">
        <v>0.39911917707850503</v>
      </c>
      <c r="DV174" s="5">
        <v>-0.149635035456017</v>
      </c>
      <c r="DW174" s="5">
        <v>0.21057622961842201</v>
      </c>
      <c r="DX174" s="5">
        <v>0.33731218351058401</v>
      </c>
      <c r="DY174" s="5">
        <v>-0.23379148047231299</v>
      </c>
      <c r="DZ174" s="5">
        <v>7.4230729748724897E-2</v>
      </c>
      <c r="EA174" s="5">
        <v>0.108601539506363</v>
      </c>
      <c r="EB174" s="5">
        <v>-0.15076353309263499</v>
      </c>
      <c r="EC174" s="5">
        <v>0.21232084825546099</v>
      </c>
      <c r="ED174" s="5">
        <v>-0.19313145761512901</v>
      </c>
      <c r="EE174" s="5">
        <v>0.24902020971681699</v>
      </c>
      <c r="EF174" s="5">
        <v>-0.12679258267347199</v>
      </c>
      <c r="EG174" s="5">
        <v>0.18974794904801801</v>
      </c>
      <c r="EH174" s="5">
        <v>-0.173369605897778</v>
      </c>
      <c r="EI174" s="5">
        <v>0.17712456460494999</v>
      </c>
      <c r="EJ174" s="5">
        <v>-0.160032780456206</v>
      </c>
      <c r="EK174" s="5">
        <v>0.17197943618098899</v>
      </c>
      <c r="EL174" s="5">
        <v>-0.224689444900975</v>
      </c>
      <c r="EM174" s="5">
        <v>0.296904243681824</v>
      </c>
      <c r="EN174" s="5">
        <v>0.16097509271476301</v>
      </c>
      <c r="EO174" s="5">
        <v>-0.20757118396215199</v>
      </c>
      <c r="EP174" s="5">
        <v>-0.19240413507186499</v>
      </c>
      <c r="EQ174" s="5">
        <v>0.22308141514581301</v>
      </c>
      <c r="ER174" s="5">
        <v>-0.121524439969908</v>
      </c>
      <c r="ES174" s="5">
        <v>0.116434918812113</v>
      </c>
      <c r="ET174" s="5">
        <v>-0.18145780130261899</v>
      </c>
      <c r="EU174" s="5">
        <v>0.22450011189337901</v>
      </c>
      <c r="EV174" s="5">
        <v>-0.20880910494037799</v>
      </c>
      <c r="EW174" s="5">
        <v>0.198304383529743</v>
      </c>
      <c r="EX174" s="5">
        <v>-0.37290446324982002</v>
      </c>
      <c r="EY174" s="5">
        <v>0.47667077139383002</v>
      </c>
      <c r="EZ174" s="5">
        <v>-9.9158929165773402E-2</v>
      </c>
      <c r="FA174" s="5">
        <v>0.10730123210251701</v>
      </c>
      <c r="FB174" s="5">
        <v>0.102139682319333</v>
      </c>
      <c r="FC174" s="5">
        <v>-1.7779061300454198E-2</v>
      </c>
      <c r="FD174" s="5">
        <v>1.6717260854381799E-2</v>
      </c>
      <c r="FE174" s="5">
        <v>3.6458349777224598E-2</v>
      </c>
      <c r="FF174" s="5">
        <v>0.108787038273811</v>
      </c>
      <c r="FG174" s="5">
        <v>-6.4011722489360802E-3</v>
      </c>
      <c r="FH174" s="5">
        <v>-6.4248995696340599E-2</v>
      </c>
      <c r="FI174" s="5">
        <v>7.3531164668905802E-2</v>
      </c>
      <c r="FJ174" s="5">
        <v>-0.25212035264442101</v>
      </c>
      <c r="FK174" s="5">
        <v>0.21465248839663201</v>
      </c>
      <c r="FL174" s="5">
        <v>0.34942407271893799</v>
      </c>
      <c r="FM174" s="5">
        <v>-0.24768117266282899</v>
      </c>
      <c r="FN174" s="5">
        <v>3.8441059300020598E-2</v>
      </c>
      <c r="FO174" s="5">
        <v>-4.69806528824624E-2</v>
      </c>
      <c r="FP174" s="5">
        <v>-3.66572046365784E-2</v>
      </c>
      <c r="FQ174" s="5">
        <v>-6.7610690027110606E-2</v>
      </c>
      <c r="FR174" s="5">
        <v>1</v>
      </c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</row>
    <row r="175" spans="1:389" x14ac:dyDescent="0.45">
      <c r="A175" s="4" t="str">
        <f ca="1">"ISL / beta2dist in "&amp;CELL("address",'damages-1990'!$K$88)</f>
        <v>ISL / beta2dist in '[BHM betas v3pd.xlsx]damages-1990'!$K$88</v>
      </c>
      <c r="B175" s="6">
        <v>-1.2187081045624701E-2</v>
      </c>
      <c r="C175" s="5">
        <v>3.5730552960158597E-2</v>
      </c>
      <c r="D175" s="5">
        <v>0.22419299592323699</v>
      </c>
      <c r="E175" s="5">
        <v>-0.32301884772943701</v>
      </c>
      <c r="F175" s="5">
        <v>9.4078241107387203E-2</v>
      </c>
      <c r="G175" s="5">
        <v>-0.104033281098998</v>
      </c>
      <c r="H175" s="5">
        <v>-2.72280536831787E-2</v>
      </c>
      <c r="I175" s="5">
        <v>3.00957658748001E-2</v>
      </c>
      <c r="J175" s="5">
        <v>0.12449651280001001</v>
      </c>
      <c r="K175" s="5">
        <v>-0.18404492385139001</v>
      </c>
      <c r="L175" s="5">
        <v>0.17129910246107599</v>
      </c>
      <c r="M175" s="5">
        <v>-0.26709053150706802</v>
      </c>
      <c r="N175" s="5">
        <v>0.26650962196585598</v>
      </c>
      <c r="O175" s="5">
        <v>-0.31910682829040199</v>
      </c>
      <c r="P175" s="5">
        <v>0.15201313852454201</v>
      </c>
      <c r="Q175" s="5">
        <v>-0.225174552059798</v>
      </c>
      <c r="R175" s="5">
        <v>6.7451645205176602E-2</v>
      </c>
      <c r="S175" s="5">
        <v>-0.13084936283276499</v>
      </c>
      <c r="T175" s="5">
        <v>0.18573434843300299</v>
      </c>
      <c r="U175" s="5">
        <v>-0.21484640284120601</v>
      </c>
      <c r="V175" s="5">
        <v>5.4387687640462E-2</v>
      </c>
      <c r="W175" s="5">
        <v>-6.2840975540314106E-2</v>
      </c>
      <c r="X175" s="5">
        <v>0.30550568430318698</v>
      </c>
      <c r="Y175" s="5">
        <v>-0.40629660495453801</v>
      </c>
      <c r="Z175" s="5">
        <v>6.6876739275504901E-2</v>
      </c>
      <c r="AA175" s="5">
        <v>-9.1755078316901995E-2</v>
      </c>
      <c r="AB175" s="5">
        <v>0.117834859938425</v>
      </c>
      <c r="AC175" s="5">
        <v>-0.19970526489766699</v>
      </c>
      <c r="AD175" s="5">
        <v>5.8306447583482697E-2</v>
      </c>
      <c r="AE175" s="5">
        <v>-0.106786471869643</v>
      </c>
      <c r="AF175" s="5">
        <v>0.23666313721173601</v>
      </c>
      <c r="AG175" s="5">
        <v>-0.29822935502627601</v>
      </c>
      <c r="AH175" s="5">
        <v>0.149657804267882</v>
      </c>
      <c r="AI175" s="5">
        <v>-0.18180252156519799</v>
      </c>
      <c r="AJ175" s="5">
        <v>0.113780825322594</v>
      </c>
      <c r="AK175" s="5">
        <v>-0.16669813568219399</v>
      </c>
      <c r="AL175" s="5">
        <v>9.6412641852267403E-2</v>
      </c>
      <c r="AM175" s="5">
        <v>-0.121490420957809</v>
      </c>
      <c r="AN175" s="5">
        <v>0.24004852448800601</v>
      </c>
      <c r="AO175" s="5">
        <v>-0.29504854999271801</v>
      </c>
      <c r="AP175" s="5">
        <v>0.149561381060348</v>
      </c>
      <c r="AQ175" s="5">
        <v>-0.160655747001094</v>
      </c>
      <c r="AR175" s="5">
        <v>-5.4835375673539702E-2</v>
      </c>
      <c r="AS175" s="5">
        <v>5.3024943346921399E-2</v>
      </c>
      <c r="AT175" s="5">
        <v>1.1620776633857501E-2</v>
      </c>
      <c r="AU175" s="5">
        <v>2.2138782137963001E-2</v>
      </c>
      <c r="AV175" s="5">
        <v>5.2449475742855502E-2</v>
      </c>
      <c r="AW175" s="5">
        <v>-7.2673936801016997E-2</v>
      </c>
      <c r="AX175" s="5">
        <v>0.116312109539604</v>
      </c>
      <c r="AY175" s="5">
        <v>-0.196287429961163</v>
      </c>
      <c r="AZ175" s="5">
        <v>0.17089902261406201</v>
      </c>
      <c r="BA175" s="5">
        <v>-0.21605125700978101</v>
      </c>
      <c r="BB175" s="5">
        <v>7.0772828124757395E-2</v>
      </c>
      <c r="BC175" s="5">
        <v>-0.15140119918808101</v>
      </c>
      <c r="BD175" s="5">
        <v>-1.93979843939188E-2</v>
      </c>
      <c r="BE175" s="5">
        <v>6.6872459377960006E-2</v>
      </c>
      <c r="BF175" s="5">
        <v>3.91767867952987E-2</v>
      </c>
      <c r="BG175" s="5">
        <v>-7.5173243564091094E-2</v>
      </c>
      <c r="BH175" s="5">
        <v>0.203655144919835</v>
      </c>
      <c r="BI175" s="5">
        <v>-0.31262111743064402</v>
      </c>
      <c r="BJ175" s="5">
        <v>2.2906367702414301E-2</v>
      </c>
      <c r="BK175" s="5">
        <v>4.4114546255018698E-2</v>
      </c>
      <c r="BL175" s="5">
        <v>0.16234155179017001</v>
      </c>
      <c r="BM175" s="5">
        <v>-0.19056818812125301</v>
      </c>
      <c r="BN175" s="5">
        <v>-0.118341048749029</v>
      </c>
      <c r="BO175" s="5">
        <v>0.23557143670785999</v>
      </c>
      <c r="BP175" s="5">
        <v>-3.9575620745171201E-2</v>
      </c>
      <c r="BQ175" s="5">
        <v>0.14057703473946401</v>
      </c>
      <c r="BR175" s="5">
        <v>0.118143821553451</v>
      </c>
      <c r="BS175" s="5">
        <v>-0.213266258635286</v>
      </c>
      <c r="BT175" s="5">
        <v>7.2161853625407696E-2</v>
      </c>
      <c r="BU175" s="5">
        <v>-0.17600918653426201</v>
      </c>
      <c r="BV175" s="5">
        <v>0.20472735890195101</v>
      </c>
      <c r="BW175" s="5">
        <v>-0.313694208670737</v>
      </c>
      <c r="BX175" s="5">
        <v>0.15765373376938099</v>
      </c>
      <c r="BY175" s="5">
        <v>-0.25972144917776602</v>
      </c>
      <c r="BZ175" s="5">
        <v>0.26452605286184999</v>
      </c>
      <c r="CA175" s="5">
        <v>-0.349323055433441</v>
      </c>
      <c r="CB175" s="5">
        <v>0.11897113564416099</v>
      </c>
      <c r="CC175" s="5">
        <v>-0.15306231457182201</v>
      </c>
      <c r="CD175" s="5">
        <v>4.0950386994144002E-2</v>
      </c>
      <c r="CE175" s="5">
        <v>-4.6931322385166299E-2</v>
      </c>
      <c r="CF175" s="5">
        <v>0.154398964700073</v>
      </c>
      <c r="CG175" s="5">
        <v>-0.17138478732093801</v>
      </c>
      <c r="CH175" s="5">
        <v>-3.6863728648360801E-2</v>
      </c>
      <c r="CI175" s="5">
        <v>8.61845759795931E-3</v>
      </c>
      <c r="CJ175" s="5">
        <v>-0.18969410406968801</v>
      </c>
      <c r="CK175" s="5">
        <v>0.260093424077461</v>
      </c>
      <c r="CL175" s="5">
        <v>0.163577499239975</v>
      </c>
      <c r="CM175" s="5">
        <v>-0.193772130460035</v>
      </c>
      <c r="CN175" s="5">
        <v>0.131137059895507</v>
      </c>
      <c r="CO175" s="5">
        <v>-0.16161729093073701</v>
      </c>
      <c r="CP175" s="5">
        <v>0.45098907397216498</v>
      </c>
      <c r="CQ175" s="5">
        <v>-0.43396381438179898</v>
      </c>
      <c r="CR175" s="5">
        <v>0.100235480950741</v>
      </c>
      <c r="CS175" s="5">
        <v>-0.15684445632510399</v>
      </c>
      <c r="CT175" s="5">
        <v>0.137481253571416</v>
      </c>
      <c r="CU175" s="5">
        <v>-0.16514788665048</v>
      </c>
      <c r="CV175" s="5">
        <v>4.4200131917375998E-2</v>
      </c>
      <c r="CW175" s="5">
        <v>-0.14684296276341499</v>
      </c>
      <c r="CX175" s="5">
        <v>-4.5033693657694503E-2</v>
      </c>
      <c r="CY175" s="5">
        <v>1.38609895338517E-2</v>
      </c>
      <c r="CZ175" s="5">
        <v>0.28177138944485902</v>
      </c>
      <c r="DA175" s="5">
        <v>-0.34499503077414201</v>
      </c>
      <c r="DB175" s="5">
        <v>-5.52689248420856E-2</v>
      </c>
      <c r="DC175" s="5">
        <v>9.3884338805432302E-2</v>
      </c>
      <c r="DD175" s="5">
        <v>0.29042759006604701</v>
      </c>
      <c r="DE175" s="5">
        <v>-0.33550663858358598</v>
      </c>
      <c r="DF175" s="5">
        <v>9.9146253747020296E-2</v>
      </c>
      <c r="DG175" s="5">
        <v>-0.13811042178688601</v>
      </c>
      <c r="DH175" s="5">
        <v>4.7315663579529897E-3</v>
      </c>
      <c r="DI175" s="5">
        <v>1.9945843495645398E-3</v>
      </c>
      <c r="DJ175" s="5">
        <v>6.80419773961881E-2</v>
      </c>
      <c r="DK175" s="5">
        <v>-5.2796499224830602E-2</v>
      </c>
      <c r="DL175" s="5">
        <v>0.42326166435679902</v>
      </c>
      <c r="DM175" s="5">
        <v>-0.48814061287566801</v>
      </c>
      <c r="DN175" s="5">
        <v>-7.1877429061381502E-3</v>
      </c>
      <c r="DO175" s="5">
        <v>3.2797437345114498E-2</v>
      </c>
      <c r="DP175" s="5">
        <v>-5.5921191516620498E-2</v>
      </c>
      <c r="DQ175" s="5">
        <v>-2.63977442240038E-3</v>
      </c>
      <c r="DR175" s="5">
        <v>3.4345812885204399E-2</v>
      </c>
      <c r="DS175" s="5">
        <v>-3.6783158423481899E-2</v>
      </c>
      <c r="DT175" s="5">
        <v>0.256167344753641</v>
      </c>
      <c r="DU175" s="5">
        <v>-0.314211284893684</v>
      </c>
      <c r="DV175" s="5">
        <v>0.180635699778322</v>
      </c>
      <c r="DW175" s="5">
        <v>-0.27149721147875799</v>
      </c>
      <c r="DX175" s="5">
        <v>-6.9805208974026201E-2</v>
      </c>
      <c r="DY175" s="5">
        <v>7.6996900023818399E-2</v>
      </c>
      <c r="DZ175" s="5">
        <v>0.23724150707172301</v>
      </c>
      <c r="EA175" s="5">
        <v>-0.32371227550106502</v>
      </c>
      <c r="EB175" s="5">
        <v>0.116244504672382</v>
      </c>
      <c r="EC175" s="5">
        <v>-0.212806441650773</v>
      </c>
      <c r="ED175" s="5">
        <v>0.188899831752185</v>
      </c>
      <c r="EE175" s="5">
        <v>-0.26771177661982298</v>
      </c>
      <c r="EF175" s="5">
        <v>0.12609141560052101</v>
      </c>
      <c r="EG175" s="5">
        <v>-0.18606649770125699</v>
      </c>
      <c r="EH175" s="5">
        <v>0.15145349293027499</v>
      </c>
      <c r="EI175" s="5">
        <v>-0.20316290642142801</v>
      </c>
      <c r="EJ175" s="5">
        <v>0.168273682009077</v>
      </c>
      <c r="EK175" s="5">
        <v>-0.22552965817838999</v>
      </c>
      <c r="EL175" s="5">
        <v>0.128621862751785</v>
      </c>
      <c r="EM175" s="5">
        <v>-0.22342973272205899</v>
      </c>
      <c r="EN175" s="5">
        <v>-0.14079223920490899</v>
      </c>
      <c r="EO175" s="5">
        <v>0.197509857722376</v>
      </c>
      <c r="EP175" s="5">
        <v>0.188994607605808</v>
      </c>
      <c r="EQ175" s="5">
        <v>-0.23020044153581001</v>
      </c>
      <c r="ER175" s="5">
        <v>-1.1755763952369E-2</v>
      </c>
      <c r="ES175" s="5">
        <v>-3.6652832213641698E-2</v>
      </c>
      <c r="ET175" s="5">
        <v>0.113944585196118</v>
      </c>
      <c r="EU175" s="5">
        <v>-0.22737294674087499</v>
      </c>
      <c r="EV175" s="5">
        <v>3.7774451596868999E-2</v>
      </c>
      <c r="EW175" s="5">
        <v>-9.4105669748768203E-2</v>
      </c>
      <c r="EX175" s="5">
        <v>0.30091770589903</v>
      </c>
      <c r="EY175" s="5">
        <v>-0.47994079006224599</v>
      </c>
      <c r="EZ175" s="5">
        <v>-1.8463512127210799E-2</v>
      </c>
      <c r="FA175" s="5">
        <v>-3.07099504292314E-2</v>
      </c>
      <c r="FB175" s="5">
        <v>0.164725424979632</v>
      </c>
      <c r="FC175" s="5">
        <v>-0.21430778436747699</v>
      </c>
      <c r="FD175" s="5">
        <v>3.0484169440917102E-3</v>
      </c>
      <c r="FE175" s="5">
        <v>-0.10255833394868601</v>
      </c>
      <c r="FF175" s="5">
        <v>0.18228677316583</v>
      </c>
      <c r="FG175" s="5">
        <v>-0.237209846496865</v>
      </c>
      <c r="FH175" s="5">
        <v>-9.8619720233857303E-2</v>
      </c>
      <c r="FI175" s="5">
        <v>0.118511664093073</v>
      </c>
      <c r="FJ175" s="5">
        <v>0.24068212344932</v>
      </c>
      <c r="FK175" s="5">
        <v>-0.27905644718324202</v>
      </c>
      <c r="FL175" s="5">
        <v>-0.16311571407863901</v>
      </c>
      <c r="FM175" s="5">
        <v>0.19273496015921199</v>
      </c>
      <c r="FN175" s="5">
        <v>8.9851502292162093E-3</v>
      </c>
      <c r="FO175" s="5">
        <v>-3.2563464959680599E-2</v>
      </c>
      <c r="FP175" s="5">
        <v>-9.3168455667586594E-2</v>
      </c>
      <c r="FQ175" s="5">
        <v>0.13779648707214501</v>
      </c>
      <c r="FR175" s="5">
        <v>-0.87716259119468998</v>
      </c>
      <c r="FS175" s="5">
        <v>1</v>
      </c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</row>
    <row r="176" spans="1:389" x14ac:dyDescent="0.45">
      <c r="A176" s="4" t="str">
        <f ca="1">"ISR / beta1dist in "&amp;CELL("address",'damages-1990'!$J$89)</f>
        <v>ISR / beta1dist in '[BHM betas v3pd.xlsx]damages-1990'!$J$89</v>
      </c>
      <c r="B176" s="6">
        <v>0.34529800598395299</v>
      </c>
      <c r="C176" s="5">
        <v>9.7742739729757E-2</v>
      </c>
      <c r="D176" s="5">
        <v>0.376095761095186</v>
      </c>
      <c r="E176" s="5">
        <v>-4.2283501765692198E-2</v>
      </c>
      <c r="F176" s="5">
        <v>0.30554364046460097</v>
      </c>
      <c r="G176" s="5">
        <v>2.3587292231738201E-3</v>
      </c>
      <c r="H176" s="5">
        <v>-0.20064673988481799</v>
      </c>
      <c r="I176" s="5">
        <v>0.26409558090115298</v>
      </c>
      <c r="J176" s="5">
        <v>0.46853177300833598</v>
      </c>
      <c r="K176" s="5">
        <v>-0.13877239940951999</v>
      </c>
      <c r="L176" s="5">
        <v>0.44462769326915003</v>
      </c>
      <c r="M176" s="5">
        <v>-7.3872454652190597E-2</v>
      </c>
      <c r="N176" s="5">
        <v>-0.139852395157576</v>
      </c>
      <c r="O176" s="5">
        <v>0.325861539218116</v>
      </c>
      <c r="P176" s="5">
        <v>0.15429867781152601</v>
      </c>
      <c r="Q176" s="5">
        <v>2.7491833801225201E-2</v>
      </c>
      <c r="R176" s="5">
        <v>0.49744351278385701</v>
      </c>
      <c r="S176" s="5">
        <v>-0.164555236815597</v>
      </c>
      <c r="T176" s="5">
        <v>-0.22957425020331601</v>
      </c>
      <c r="U176" s="5">
        <v>0.328589420996311</v>
      </c>
      <c r="V176" s="5">
        <v>0.38468411700087402</v>
      </c>
      <c r="W176" s="5">
        <v>6.7221446215493696E-2</v>
      </c>
      <c r="X176" s="5">
        <v>0.41855339137603098</v>
      </c>
      <c r="Y176" s="5">
        <v>-6.3860742606358004E-2</v>
      </c>
      <c r="Z176" s="5">
        <v>-1.4693184466580101E-2</v>
      </c>
      <c r="AA176" s="5">
        <v>0.22805101224770399</v>
      </c>
      <c r="AB176" s="5">
        <v>0.28070152670813397</v>
      </c>
      <c r="AC176" s="5">
        <v>-7.4350116057883595E-2</v>
      </c>
      <c r="AD176" s="5">
        <v>0.29671671892274198</v>
      </c>
      <c r="AE176" s="5">
        <v>-5.6632697052720102E-2</v>
      </c>
      <c r="AF176" s="5">
        <v>0.39539526711178802</v>
      </c>
      <c r="AG176" s="5">
        <v>-9.85193343001705E-2</v>
      </c>
      <c r="AH176" s="5">
        <v>0.18366688332287401</v>
      </c>
      <c r="AI176" s="5">
        <v>0.111006598925316</v>
      </c>
      <c r="AJ176" s="5">
        <v>0.47966636104260901</v>
      </c>
      <c r="AK176" s="5">
        <v>-0.15176617458452299</v>
      </c>
      <c r="AL176" s="5">
        <v>0.243869389632246</v>
      </c>
      <c r="AM176" s="5">
        <v>-3.7666029254569897E-2</v>
      </c>
      <c r="AN176" s="5">
        <v>-2.5448684260424001E-2</v>
      </c>
      <c r="AO176" s="5">
        <v>0.25155401107905401</v>
      </c>
      <c r="AP176" s="5">
        <v>-1.47236405858339E-2</v>
      </c>
      <c r="AQ176" s="5">
        <v>5.8309409292087798E-2</v>
      </c>
      <c r="AR176" s="5">
        <v>0.31644517036069802</v>
      </c>
      <c r="AS176" s="5">
        <v>-6.5976808881332602E-2</v>
      </c>
      <c r="AT176" s="5">
        <v>0.19763501904448699</v>
      </c>
      <c r="AU176" s="5">
        <v>2.0007422830205498E-2</v>
      </c>
      <c r="AV176" s="5">
        <v>0.55901007546771697</v>
      </c>
      <c r="AW176" s="5">
        <v>-0.27112120047167099</v>
      </c>
      <c r="AX176" s="5">
        <v>0.45680640699900699</v>
      </c>
      <c r="AY176" s="5">
        <v>-0.13767859041590599</v>
      </c>
      <c r="AZ176" s="5">
        <v>0.15584007789320201</v>
      </c>
      <c r="BA176" s="5">
        <v>-1.8086823047027301E-2</v>
      </c>
      <c r="BB176" s="5">
        <v>0.39064201645800101</v>
      </c>
      <c r="BC176" s="5">
        <v>-6.4835973087057394E-2</v>
      </c>
      <c r="BD176" s="5">
        <v>0.22351583180621301</v>
      </c>
      <c r="BE176" s="5">
        <v>0.19282865543429401</v>
      </c>
      <c r="BF176" s="5">
        <v>0.24067680146165599</v>
      </c>
      <c r="BG176" s="5">
        <v>7.1917081988841003E-2</v>
      </c>
      <c r="BH176" s="5">
        <v>0.35148413035889398</v>
      </c>
      <c r="BI176" s="5">
        <v>-7.5239071161076004E-2</v>
      </c>
      <c r="BJ176" s="5">
        <v>-0.28985262787662103</v>
      </c>
      <c r="BK176" s="5">
        <v>0.232167832353945</v>
      </c>
      <c r="BL176" s="5">
        <v>-0.26007957469350002</v>
      </c>
      <c r="BM176" s="5">
        <v>0.34519841452158001</v>
      </c>
      <c r="BN176" s="5">
        <v>0.12317913950423801</v>
      </c>
      <c r="BO176" s="5">
        <v>5.3950545525162201E-2</v>
      </c>
      <c r="BP176" s="5">
        <v>-5.1510186169868501E-2</v>
      </c>
      <c r="BQ176" s="5">
        <v>0.274774666354894</v>
      </c>
      <c r="BR176" s="5">
        <v>0.30426010751721499</v>
      </c>
      <c r="BS176" s="5">
        <v>-7.1712354562148001E-2</v>
      </c>
      <c r="BT176" s="5">
        <v>0.43878193344960797</v>
      </c>
      <c r="BU176" s="5">
        <v>-0.15772237705172401</v>
      </c>
      <c r="BV176" s="5">
        <v>0.42539425748066301</v>
      </c>
      <c r="BW176" s="5">
        <v>-0.126144247055339</v>
      </c>
      <c r="BX176" s="5">
        <v>0.38992635345464899</v>
      </c>
      <c r="BY176" s="5">
        <v>-0.14741461373735601</v>
      </c>
      <c r="BZ176" s="5">
        <v>0.46249357072389902</v>
      </c>
      <c r="CA176" s="5">
        <v>-0.17246458917016599</v>
      </c>
      <c r="CB176" s="5">
        <v>0.30211517936976801</v>
      </c>
      <c r="CC176" s="5">
        <v>-0.12670733877371099</v>
      </c>
      <c r="CD176" s="5">
        <v>9.9512630330508806E-2</v>
      </c>
      <c r="CE176" s="5">
        <v>0.105944456516655</v>
      </c>
      <c r="CF176" s="5">
        <v>0.232914211587955</v>
      </c>
      <c r="CG176" s="5">
        <v>-4.6819917574496099E-2</v>
      </c>
      <c r="CH176" s="5">
        <v>0.157167464321537</v>
      </c>
      <c r="CI176" s="5">
        <v>3.1289327014440801E-2</v>
      </c>
      <c r="CJ176" s="5">
        <v>0.69854908892383205</v>
      </c>
      <c r="CK176" s="5">
        <v>-0.461846998729675</v>
      </c>
      <c r="CL176" s="5">
        <v>-0.12737648882595701</v>
      </c>
      <c r="CM176" s="5">
        <v>0.27036232084833001</v>
      </c>
      <c r="CN176" s="5">
        <v>-5.5324798767270998E-2</v>
      </c>
      <c r="CO176" s="5">
        <v>0.23443510875166301</v>
      </c>
      <c r="CP176" s="5">
        <v>0.30093638760654201</v>
      </c>
      <c r="CQ176" s="5">
        <v>-0.109173180060835</v>
      </c>
      <c r="CR176" s="5">
        <v>0.18564760043231399</v>
      </c>
      <c r="CS176" s="5">
        <v>-6.5922831035248697E-4</v>
      </c>
      <c r="CT176" s="5">
        <v>-2.8617826442512099E-2</v>
      </c>
      <c r="CU176" s="5">
        <v>0.113100606241089</v>
      </c>
      <c r="CV176" s="5">
        <v>0.15437100622931399</v>
      </c>
      <c r="CW176" s="5">
        <v>3.5394492718918501E-2</v>
      </c>
      <c r="CX176" s="5">
        <v>0.58655549990621403</v>
      </c>
      <c r="CY176" s="5">
        <v>-0.273617607769852</v>
      </c>
      <c r="CZ176" s="5">
        <v>0.39542302163857801</v>
      </c>
      <c r="DA176" s="5">
        <v>-8.5294822966117304E-2</v>
      </c>
      <c r="DB176" s="5">
        <v>0.75925702723025201</v>
      </c>
      <c r="DC176" s="5">
        <v>-0.44922063539331603</v>
      </c>
      <c r="DD176" s="5">
        <v>0.30172903071969098</v>
      </c>
      <c r="DE176" s="5">
        <v>-5.1232747076151601E-2</v>
      </c>
      <c r="DF176" s="5">
        <v>0.34918781226156298</v>
      </c>
      <c r="DG176" s="5">
        <v>-5.7753573556065599E-2</v>
      </c>
      <c r="DH176" s="5">
        <v>0.38973361357191699</v>
      </c>
      <c r="DI176" s="5">
        <v>-3.65467224139727E-2</v>
      </c>
      <c r="DJ176" s="5">
        <v>-2.19228446815194E-3</v>
      </c>
      <c r="DK176" s="5">
        <v>1.7375353535137299E-2</v>
      </c>
      <c r="DL176" s="5">
        <v>0.35289566262014299</v>
      </c>
      <c r="DM176" s="5">
        <v>-6.9911888097114697E-2</v>
      </c>
      <c r="DN176" s="5">
        <v>-0.10534579538319901</v>
      </c>
      <c r="DO176" s="5">
        <v>7.5616970666772004E-2</v>
      </c>
      <c r="DP176" s="5">
        <v>0.31147568939231601</v>
      </c>
      <c r="DQ176" s="5">
        <v>-1.0373682016085699E-2</v>
      </c>
      <c r="DR176" s="5">
        <v>0.13843742835817999</v>
      </c>
      <c r="DS176" s="5">
        <v>0.15822812356383101</v>
      </c>
      <c r="DT176" s="5">
        <v>0.394731687859256</v>
      </c>
      <c r="DU176" s="5">
        <v>-0.23945801933372499</v>
      </c>
      <c r="DV176" s="5">
        <v>0.27869181299145601</v>
      </c>
      <c r="DW176" s="5">
        <v>-5.6796288393816799E-2</v>
      </c>
      <c r="DX176" s="5">
        <v>-2.9176924815505101E-2</v>
      </c>
      <c r="DY176" s="5">
        <v>0.123547605434576</v>
      </c>
      <c r="DZ176" s="5">
        <v>-9.1782974505652204E-2</v>
      </c>
      <c r="EA176" s="5">
        <v>0.30467984453616698</v>
      </c>
      <c r="EB176" s="5">
        <v>0.31798214214126702</v>
      </c>
      <c r="EC176" s="5">
        <v>-8.3696475600036901E-2</v>
      </c>
      <c r="ED176" s="5">
        <v>0.37002812047712802</v>
      </c>
      <c r="EE176" s="5">
        <v>-8.8391330239219204E-2</v>
      </c>
      <c r="EF176" s="5">
        <v>0.15300873467555801</v>
      </c>
      <c r="EG176" s="5">
        <v>2.4683222814872698E-2</v>
      </c>
      <c r="EH176" s="5">
        <v>0.39451726454903302</v>
      </c>
      <c r="EI176" s="5">
        <v>-0.105758013580545</v>
      </c>
      <c r="EJ176" s="5">
        <v>0.41445959242813202</v>
      </c>
      <c r="EK176" s="5">
        <v>-0.11116427065556</v>
      </c>
      <c r="EL176" s="5">
        <v>0.44917536023593402</v>
      </c>
      <c r="EM176" s="5">
        <v>-0.21246104631762999</v>
      </c>
      <c r="EN176" s="5">
        <v>0.60375505913930805</v>
      </c>
      <c r="EO176" s="5">
        <v>-0.31972693038231398</v>
      </c>
      <c r="EP176" s="5">
        <v>0.13076453515849701</v>
      </c>
      <c r="EQ176" s="5">
        <v>1.29621543164813E-2</v>
      </c>
      <c r="ER176" s="5">
        <v>0.332222704048656</v>
      </c>
      <c r="ES176" s="5">
        <v>-2.0343149762993E-2</v>
      </c>
      <c r="ET176" s="5">
        <v>0.2288760900306</v>
      </c>
      <c r="EU176" s="5">
        <v>2.2065628732058199E-2</v>
      </c>
      <c r="EV176" s="5">
        <v>0.40415124549222398</v>
      </c>
      <c r="EW176" s="5">
        <v>-0.177893480002489</v>
      </c>
      <c r="EX176" s="5">
        <v>0.25904449793406398</v>
      </c>
      <c r="EY176" s="5">
        <v>-1.0133303128846499E-2</v>
      </c>
      <c r="EZ176" s="5">
        <v>0.31610379038346398</v>
      </c>
      <c r="FA176" s="5">
        <v>-5.6759605923391201E-2</v>
      </c>
      <c r="FB176" s="5">
        <v>0.17845355910472199</v>
      </c>
      <c r="FC176" s="5">
        <v>0.117882556826854</v>
      </c>
      <c r="FD176" s="5">
        <v>0.19145590339063601</v>
      </c>
      <c r="FE176" s="5">
        <v>1.04346866515669E-2</v>
      </c>
      <c r="FF176" s="5">
        <v>0.122606606248917</v>
      </c>
      <c r="FG176" s="5">
        <v>0.13428739860271599</v>
      </c>
      <c r="FH176" s="5">
        <v>0.460157769056388</v>
      </c>
      <c r="FI176" s="5">
        <v>-0.26014422225719003</v>
      </c>
      <c r="FJ176" s="5">
        <v>0.33432938796146799</v>
      </c>
      <c r="FK176" s="5">
        <v>7.0114139621464303E-2</v>
      </c>
      <c r="FL176" s="5">
        <v>4.0305491712335398E-2</v>
      </c>
      <c r="FM176" s="5">
        <v>4.8184352107629003E-2</v>
      </c>
      <c r="FN176" s="5">
        <v>0.49872592140633099</v>
      </c>
      <c r="FO176" s="5">
        <v>-0.10678267263176</v>
      </c>
      <c r="FP176" s="5">
        <v>0.69941888376120998</v>
      </c>
      <c r="FQ176" s="5">
        <v>-0.40963496494028201</v>
      </c>
      <c r="FR176" s="5">
        <v>-0.115621550048174</v>
      </c>
      <c r="FS176" s="5">
        <v>-6.4345792243934198E-3</v>
      </c>
      <c r="FT176" s="5">
        <v>1</v>
      </c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</row>
    <row r="177" spans="1:389" x14ac:dyDescent="0.45">
      <c r="A177" s="4" t="str">
        <f ca="1">"ISR / beta2dist in "&amp;CELL("address",'damages-1990'!$K$89)</f>
        <v>ISR / beta2dist in '[BHM betas v3pd.xlsx]damages-1990'!$K$89</v>
      </c>
      <c r="B177" s="6">
        <v>-0.10362857453114099</v>
      </c>
      <c r="C177" s="5">
        <v>0.13172792880532899</v>
      </c>
      <c r="D177" s="5">
        <v>2.7969777359578001E-2</v>
      </c>
      <c r="E177" s="5">
        <v>9.5690847376076693E-2</v>
      </c>
      <c r="F177" s="5">
        <v>-0.14640710961872899</v>
      </c>
      <c r="G177" s="5">
        <v>0.19410088333266501</v>
      </c>
      <c r="H177" s="5">
        <v>1.9914730538065101E-2</v>
      </c>
      <c r="I177" s="5">
        <v>-0.112195133585271</v>
      </c>
      <c r="J177" s="5">
        <v>-9.5008935091962898E-2</v>
      </c>
      <c r="K177" s="5">
        <v>0.23310491779459899</v>
      </c>
      <c r="L177" s="5">
        <v>-8.9735994640337394E-2</v>
      </c>
      <c r="M177" s="5">
        <v>0.144446944306484</v>
      </c>
      <c r="N177" s="5">
        <v>0.24502418616101099</v>
      </c>
      <c r="O177" s="5">
        <v>-0.44395196176060803</v>
      </c>
      <c r="P177" s="5">
        <v>0.10377532777537</v>
      </c>
      <c r="Q177" s="5">
        <v>-1.3643800378195001E-2</v>
      </c>
      <c r="R177" s="5">
        <v>-0.12645327853781799</v>
      </c>
      <c r="S177" s="5">
        <v>0.26231942850842199</v>
      </c>
      <c r="T177" s="5">
        <v>0.178144698833648</v>
      </c>
      <c r="U177" s="5">
        <v>-0.25920506173235203</v>
      </c>
      <c r="V177" s="5">
        <v>-0.124953339247086</v>
      </c>
      <c r="W177" s="5">
        <v>0.107183881519719</v>
      </c>
      <c r="X177" s="5">
        <v>-4.1316781159152598E-2</v>
      </c>
      <c r="Y177" s="5">
        <v>0.13877238437197401</v>
      </c>
      <c r="Z177" s="5">
        <v>2.9260031098842499E-2</v>
      </c>
      <c r="AA177" s="5">
        <v>-8.0433119556258204E-2</v>
      </c>
      <c r="AB177" s="5">
        <v>-1.3554227851615599E-3</v>
      </c>
      <c r="AC177" s="5">
        <v>0.11979362241757099</v>
      </c>
      <c r="AD177" s="5">
        <v>-6.9188111104135003E-2</v>
      </c>
      <c r="AE177" s="5">
        <v>0.169791076820547</v>
      </c>
      <c r="AF177" s="5">
        <v>2.7023207913831799E-2</v>
      </c>
      <c r="AG177" s="5">
        <v>3.8477214280247501E-2</v>
      </c>
      <c r="AH177" s="5">
        <v>-6.6558422302342102E-2</v>
      </c>
      <c r="AI177" s="5">
        <v>5.9609643450833097E-2</v>
      </c>
      <c r="AJ177" s="5">
        <v>-0.14703539992557299</v>
      </c>
      <c r="AK177" s="5">
        <v>0.28691196179571998</v>
      </c>
      <c r="AL177" s="5">
        <v>0.13901920736536999</v>
      </c>
      <c r="AM177" s="5">
        <v>-0.103619249848004</v>
      </c>
      <c r="AN177" s="5">
        <v>9.1974977492409696E-2</v>
      </c>
      <c r="AO177" s="5">
        <v>-0.15650306149416601</v>
      </c>
      <c r="AP177" s="5">
        <v>-0.221739356115083</v>
      </c>
      <c r="AQ177" s="5">
        <v>0.23304350634785601</v>
      </c>
      <c r="AR177" s="5">
        <v>0.122244990213247</v>
      </c>
      <c r="AS177" s="5">
        <v>-2.66153227103764E-2</v>
      </c>
      <c r="AT177" s="5">
        <v>0.155626014078798</v>
      </c>
      <c r="AU177" s="5">
        <v>-0.149997720461582</v>
      </c>
      <c r="AV177" s="5">
        <v>-9.9314097363016607E-2</v>
      </c>
      <c r="AW177" s="5">
        <v>0.27578337581448398</v>
      </c>
      <c r="AX177" s="5">
        <v>1.99071023973919E-2</v>
      </c>
      <c r="AY177" s="5">
        <v>9.3310332230071694E-2</v>
      </c>
      <c r="AZ177" s="5">
        <v>0.14308712517529701</v>
      </c>
      <c r="BA177" s="5">
        <v>-8.5361183342589492E-3</v>
      </c>
      <c r="BB177" s="5">
        <v>-3.9148560522882098E-2</v>
      </c>
      <c r="BC177" s="5">
        <v>0.16495666000175499</v>
      </c>
      <c r="BD177" s="5">
        <v>-0.13217235749209499</v>
      </c>
      <c r="BE177" s="5">
        <v>0.16295324337254199</v>
      </c>
      <c r="BF177" s="5">
        <v>0.128781394490117</v>
      </c>
      <c r="BG177" s="5">
        <v>-6.6270694463738899E-2</v>
      </c>
      <c r="BH177" s="5">
        <v>7.8291738595245394E-2</v>
      </c>
      <c r="BI177" s="5">
        <v>7.1152804857879698E-2</v>
      </c>
      <c r="BJ177" s="5">
        <v>3.01961258441007E-2</v>
      </c>
      <c r="BK177" s="5">
        <v>-0.17754586385735699</v>
      </c>
      <c r="BL177" s="5">
        <v>0.18425204735227901</v>
      </c>
      <c r="BM177" s="5">
        <v>-0.28785033672736499</v>
      </c>
      <c r="BN177" s="5">
        <v>-0.12720097132490499</v>
      </c>
      <c r="BO177" s="5">
        <v>7.2438259844133004E-2</v>
      </c>
      <c r="BP177" s="5">
        <v>-0.10169825853011399</v>
      </c>
      <c r="BQ177" s="5">
        <v>3.10294017649312E-2</v>
      </c>
      <c r="BR177" s="5">
        <v>-0.104516382532001</v>
      </c>
      <c r="BS177" s="5">
        <v>0.19369677522449</v>
      </c>
      <c r="BT177" s="5">
        <v>-1.6889020465369099E-2</v>
      </c>
      <c r="BU177" s="5">
        <v>0.186862187344919</v>
      </c>
      <c r="BV177" s="5">
        <v>-7.1775016204606398E-2</v>
      </c>
      <c r="BW177" s="5">
        <v>0.21789539707969999</v>
      </c>
      <c r="BX177" s="5">
        <v>-9.7692110626369996E-2</v>
      </c>
      <c r="BY177" s="5">
        <v>0.24487182043639799</v>
      </c>
      <c r="BZ177" s="5">
        <v>-0.112055182576261</v>
      </c>
      <c r="CA177" s="5">
        <v>0.20625719246971999</v>
      </c>
      <c r="CB177" s="5">
        <v>-1.6598043591436601E-2</v>
      </c>
      <c r="CC177" s="5">
        <v>0.153333518584613</v>
      </c>
      <c r="CD177" s="5">
        <v>0.18075698956714001</v>
      </c>
      <c r="CE177" s="5">
        <v>-0.129641437314962</v>
      </c>
      <c r="CF177" s="5">
        <v>0.15321494717109899</v>
      </c>
      <c r="CG177" s="5">
        <v>-5.0110052990622399E-2</v>
      </c>
      <c r="CH177" s="5">
        <v>0.24068464929727801</v>
      </c>
      <c r="CI177" s="5">
        <v>-0.22209725890407001</v>
      </c>
      <c r="CJ177" s="5">
        <v>-0.49721595846497502</v>
      </c>
      <c r="CK177" s="5">
        <v>0.64290067832239095</v>
      </c>
      <c r="CL177" s="5">
        <v>9.8152623163534999E-2</v>
      </c>
      <c r="CM177" s="5">
        <v>-0.16418096028448201</v>
      </c>
      <c r="CN177" s="5">
        <v>2.4689393581556002E-2</v>
      </c>
      <c r="CO177" s="5">
        <v>-8.4177862857577404E-2</v>
      </c>
      <c r="CP177" s="5">
        <v>-0.114179292916341</v>
      </c>
      <c r="CQ177" s="5">
        <v>0.20305914180613199</v>
      </c>
      <c r="CR177" s="5">
        <v>0.103671080630532</v>
      </c>
      <c r="CS177" s="5">
        <v>5.5559885689469898E-3</v>
      </c>
      <c r="CT177" s="5">
        <v>-8.0161725595388506E-2</v>
      </c>
      <c r="CU177" s="5">
        <v>5.8858816506624598E-2</v>
      </c>
      <c r="CV177" s="5">
        <v>2.8378434308193E-2</v>
      </c>
      <c r="CW177" s="5">
        <v>8.7646428448391794E-2</v>
      </c>
      <c r="CX177" s="5">
        <v>-0.28152168427206598</v>
      </c>
      <c r="CY177" s="5">
        <v>0.43045243074311701</v>
      </c>
      <c r="CZ177" s="5">
        <v>-3.21353927297593E-2</v>
      </c>
      <c r="DA177" s="5">
        <v>8.0873480837781106E-2</v>
      </c>
      <c r="DB177" s="5">
        <v>-0.43392235087790099</v>
      </c>
      <c r="DC177" s="5">
        <v>0.66865898549809399</v>
      </c>
      <c r="DD177" s="5">
        <v>-8.6010202415385498E-2</v>
      </c>
      <c r="DE177" s="5">
        <v>0.18882133676584301</v>
      </c>
      <c r="DF177" s="5">
        <v>8.0143037595846095E-2</v>
      </c>
      <c r="DG177" s="5">
        <v>-2.0012953090852801E-3</v>
      </c>
      <c r="DH177" s="5">
        <v>-0.11965078502103201</v>
      </c>
      <c r="DI177" s="5">
        <v>0.195075450307509</v>
      </c>
      <c r="DJ177" s="5">
        <v>-0.27844184580947401</v>
      </c>
      <c r="DK177" s="5">
        <v>0.28575974920353497</v>
      </c>
      <c r="DL177" s="5">
        <v>2.9686181868113899E-2</v>
      </c>
      <c r="DM177" s="5">
        <v>0.12962439898294201</v>
      </c>
      <c r="DN177" s="5">
        <v>-0.22331543356943201</v>
      </c>
      <c r="DO177" s="5">
        <v>0.20854247022255701</v>
      </c>
      <c r="DP177" s="5">
        <v>-3.3204968786856401E-2</v>
      </c>
      <c r="DQ177" s="5">
        <v>4.2683568451869103E-2</v>
      </c>
      <c r="DR177" s="5">
        <v>-3.4587209056376501E-2</v>
      </c>
      <c r="DS177" s="5">
        <v>5.9181358038265597E-3</v>
      </c>
      <c r="DT177" s="5">
        <v>-0.232164506076011</v>
      </c>
      <c r="DU177" s="5">
        <v>0.281300101276314</v>
      </c>
      <c r="DV177" s="5">
        <v>-0.105257287949582</v>
      </c>
      <c r="DW177" s="5">
        <v>0.20987550378035999</v>
      </c>
      <c r="DX177" s="5">
        <v>-0.12667782481401799</v>
      </c>
      <c r="DY177" s="5">
        <v>0.13543153453212001</v>
      </c>
      <c r="DZ177" s="5">
        <v>0.17835077421255099</v>
      </c>
      <c r="EA177" s="5">
        <v>-0.363010106770428</v>
      </c>
      <c r="EB177" s="5">
        <v>-3.7441572605494099E-2</v>
      </c>
      <c r="EC177" s="5">
        <v>0.164670492623957</v>
      </c>
      <c r="ED177" s="5">
        <v>-7.0999776855417293E-2</v>
      </c>
      <c r="EE177" s="5">
        <v>0.17239309061605301</v>
      </c>
      <c r="EF177" s="5">
        <v>0.106735174138021</v>
      </c>
      <c r="EG177" s="5">
        <v>-1.1415347699665001E-2</v>
      </c>
      <c r="EH177" s="5">
        <v>-2.0178307059602298E-2</v>
      </c>
      <c r="EI177" s="5">
        <v>0.15424599690841301</v>
      </c>
      <c r="EJ177" s="5">
        <v>-7.9382183884899496E-2</v>
      </c>
      <c r="EK177" s="5">
        <v>0.19263304487892199</v>
      </c>
      <c r="EL177" s="5">
        <v>-1.75765953801033E-2</v>
      </c>
      <c r="EM177" s="5">
        <v>0.15943796019762199</v>
      </c>
      <c r="EN177" s="5">
        <v>-0.40477404511092602</v>
      </c>
      <c r="EO177" s="5">
        <v>0.50856561508125497</v>
      </c>
      <c r="EP177" s="5">
        <v>0.14893810685480799</v>
      </c>
      <c r="EQ177" s="5">
        <v>-6.1847526836709202E-3</v>
      </c>
      <c r="ER177" s="5">
        <v>0.109477239379518</v>
      </c>
      <c r="ES177" s="5">
        <v>-3.1596451020096998E-2</v>
      </c>
      <c r="ET177" s="5">
        <v>0.28662329639880602</v>
      </c>
      <c r="EU177" s="5">
        <v>-0.18595244720361201</v>
      </c>
      <c r="EV177" s="5">
        <v>4.9864312208313701E-2</v>
      </c>
      <c r="EW177" s="5">
        <v>0.115311724619016</v>
      </c>
      <c r="EX177" s="5">
        <v>0.23876823204379299</v>
      </c>
      <c r="EY177" s="5">
        <v>-0.15264111141450901</v>
      </c>
      <c r="EZ177" s="5">
        <v>9.2141740503722494E-2</v>
      </c>
      <c r="FA177" s="5">
        <v>6.2744859016021906E-2</v>
      </c>
      <c r="FB177" s="5">
        <v>-1.5762615193914802E-2</v>
      </c>
      <c r="FC177" s="5">
        <v>-3.4853871232391198E-3</v>
      </c>
      <c r="FD177" s="5">
        <v>7.6458206195960804E-2</v>
      </c>
      <c r="FE177" s="5">
        <v>4.3109896128180003E-2</v>
      </c>
      <c r="FF177" s="5">
        <v>-1.9329254922722999E-2</v>
      </c>
      <c r="FG177" s="5">
        <v>-3.17754035864841E-3</v>
      </c>
      <c r="FH177" s="5">
        <v>2.0883186429423699E-2</v>
      </c>
      <c r="FI177" s="5">
        <v>0.11470340408658</v>
      </c>
      <c r="FJ177" s="5">
        <v>8.1188191782120001E-2</v>
      </c>
      <c r="FK177" s="5">
        <v>-1.9830861922562101E-2</v>
      </c>
      <c r="FL177" s="5">
        <v>-0.16658878826408</v>
      </c>
      <c r="FM177" s="5">
        <v>0.191345263679398</v>
      </c>
      <c r="FN177" s="5">
        <v>-0.209824476648071</v>
      </c>
      <c r="FO177" s="5">
        <v>0.30631323794349002</v>
      </c>
      <c r="FP177" s="5">
        <v>-0.41171123270134702</v>
      </c>
      <c r="FQ177" s="5">
        <v>0.61107948289486902</v>
      </c>
      <c r="FR177" s="5">
        <v>3.26403542516569E-2</v>
      </c>
      <c r="FS177" s="5">
        <v>3.9719268179746199E-2</v>
      </c>
      <c r="FT177" s="5">
        <v>-0.72718518917105601</v>
      </c>
      <c r="FU177" s="5">
        <v>1</v>
      </c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</row>
    <row r="178" spans="1:389" x14ac:dyDescent="0.45">
      <c r="A178" s="4" t="str">
        <f ca="1">"ITA / beta1dist in "&amp;CELL("address",'damages-1990'!$J$90)</f>
        <v>ITA / beta1dist in '[BHM betas v3pd.xlsx]damages-1990'!$J$90</v>
      </c>
      <c r="B178" s="6">
        <v>0.578557669661103</v>
      </c>
      <c r="C178" s="5">
        <v>-0.117010194553042</v>
      </c>
      <c r="D178" s="5">
        <v>0.233442003424014</v>
      </c>
      <c r="E178" s="5">
        <v>-4.3749649536048402E-2</v>
      </c>
      <c r="F178" s="5">
        <v>0.83505679295024005</v>
      </c>
      <c r="G178" s="5">
        <v>-0.53454715697528798</v>
      </c>
      <c r="H178" s="5">
        <v>0.30873241385695199</v>
      </c>
      <c r="I178" s="5">
        <v>-0.102909219573748</v>
      </c>
      <c r="J178" s="5">
        <v>0.222624317840005</v>
      </c>
      <c r="K178" s="5">
        <v>-8.5133774436285503E-2</v>
      </c>
      <c r="L178" s="5">
        <v>0.52666814992642697</v>
      </c>
      <c r="M178" s="5">
        <v>-0.17961390779616901</v>
      </c>
      <c r="N178" s="5">
        <v>0.45067431884964498</v>
      </c>
      <c r="O178" s="5">
        <v>-0.13636929157531399</v>
      </c>
      <c r="P178" s="5">
        <v>0.100661484450022</v>
      </c>
      <c r="Q178" s="5">
        <v>4.0256155711258096E-3</v>
      </c>
      <c r="R178" s="5">
        <v>0.31750040828067499</v>
      </c>
      <c r="S178" s="5">
        <v>-0.107439529389631</v>
      </c>
      <c r="T178" s="5">
        <v>0.417608228136432</v>
      </c>
      <c r="U178" s="5">
        <v>-0.21108263787245901</v>
      </c>
      <c r="V178" s="5">
        <v>0.58717886766129601</v>
      </c>
      <c r="W178" s="5">
        <v>-0.132712534110416</v>
      </c>
      <c r="X178" s="5">
        <v>0.28253106587617</v>
      </c>
      <c r="Y178" s="5">
        <v>-5.8940363874754299E-2</v>
      </c>
      <c r="Z178" s="5">
        <v>0.63641302512060505</v>
      </c>
      <c r="AA178" s="5">
        <v>-0.35854635970499199</v>
      </c>
      <c r="AB178" s="5">
        <v>0.14396037962243699</v>
      </c>
      <c r="AC178" s="5">
        <v>-3.0857416390050799E-2</v>
      </c>
      <c r="AD178" s="5">
        <v>0.151057904996825</v>
      </c>
      <c r="AE178" s="5">
        <v>-1.2814730742632299E-2</v>
      </c>
      <c r="AF178" s="5">
        <v>0.12581063201023601</v>
      </c>
      <c r="AG178" s="5">
        <v>5.0100179407834601E-3</v>
      </c>
      <c r="AH178" s="5">
        <v>0.73835056973768898</v>
      </c>
      <c r="AI178" s="5">
        <v>-0.42542947417399901</v>
      </c>
      <c r="AJ178" s="5">
        <v>0.20405806291985901</v>
      </c>
      <c r="AK178" s="5">
        <v>-6.0832305643035697E-2</v>
      </c>
      <c r="AL178" s="5">
        <v>0.21170634446925901</v>
      </c>
      <c r="AM178" s="5">
        <v>-0.13431811493967799</v>
      </c>
      <c r="AN178" s="5">
        <v>0.677600455247099</v>
      </c>
      <c r="AO178" s="5">
        <v>-0.39337589053968203</v>
      </c>
      <c r="AP178" s="5">
        <v>0.35863777161462601</v>
      </c>
      <c r="AQ178" s="5">
        <v>-0.13383969131544901</v>
      </c>
      <c r="AR178" s="5">
        <v>0.21305633862752599</v>
      </c>
      <c r="AS178" s="5">
        <v>-9.9372197307192295E-2</v>
      </c>
      <c r="AT178" s="5">
        <v>0.18858479070508399</v>
      </c>
      <c r="AU178" s="5">
        <v>-8.06759776541673E-2</v>
      </c>
      <c r="AV178" s="5">
        <v>0.27865626133945598</v>
      </c>
      <c r="AW178" s="5">
        <v>-9.6841463485755203E-2</v>
      </c>
      <c r="AX178" s="5">
        <v>0.206086678317458</v>
      </c>
      <c r="AY178" s="5">
        <v>-9.7834482099963094E-2</v>
      </c>
      <c r="AZ178" s="5">
        <v>6.9595999316586707E-2</v>
      </c>
      <c r="BA178" s="5">
        <v>2.16664797551024E-2</v>
      </c>
      <c r="BB178" s="5">
        <v>0.230291622189882</v>
      </c>
      <c r="BC178" s="5">
        <v>-7.6809930715019403E-2</v>
      </c>
      <c r="BD178" s="5">
        <v>0.64083487436381104</v>
      </c>
      <c r="BE178" s="5">
        <v>-0.16558885432188</v>
      </c>
      <c r="BF178" s="5">
        <v>0.16161496178003201</v>
      </c>
      <c r="BG178" s="5">
        <v>-1.8085919024542201E-3</v>
      </c>
      <c r="BH178" s="5">
        <v>0.226376828825892</v>
      </c>
      <c r="BI178" s="5">
        <v>-6.5687887531781106E-2</v>
      </c>
      <c r="BJ178" s="5">
        <v>0.204333680232926</v>
      </c>
      <c r="BK178" s="5">
        <v>-8.4065575055655792E-3</v>
      </c>
      <c r="BL178" s="5">
        <v>0.38256884300211602</v>
      </c>
      <c r="BM178" s="5">
        <v>-0.183643133648065</v>
      </c>
      <c r="BN178" s="5">
        <v>0.476786718347604</v>
      </c>
      <c r="BO178" s="5">
        <v>-7.2109223723003699E-2</v>
      </c>
      <c r="BP178" s="5">
        <v>0.50890213270374696</v>
      </c>
      <c r="BQ178" s="5">
        <v>-0.145722477674495</v>
      </c>
      <c r="BR178" s="5">
        <v>0.19931911558853899</v>
      </c>
      <c r="BS178" s="5">
        <v>-5.9277811128798999E-2</v>
      </c>
      <c r="BT178" s="5">
        <v>0.247499952496334</v>
      </c>
      <c r="BU178" s="5">
        <v>-7.7864718816761894E-2</v>
      </c>
      <c r="BV178" s="5">
        <v>0.25702211655588603</v>
      </c>
      <c r="BW178" s="5">
        <v>-0.110767604909523</v>
      </c>
      <c r="BX178" s="5">
        <v>0.23110477613137201</v>
      </c>
      <c r="BY178" s="5">
        <v>-0.107106057950039</v>
      </c>
      <c r="BZ178" s="5">
        <v>0.227951257081282</v>
      </c>
      <c r="CA178" s="5">
        <v>-0.117411142170764</v>
      </c>
      <c r="CB178" s="5">
        <v>0.19212693953428001</v>
      </c>
      <c r="CC178" s="5">
        <v>-8.3805851315060395E-2</v>
      </c>
      <c r="CD178" s="5">
        <v>0.173439324541625</v>
      </c>
      <c r="CE178" s="5">
        <v>-1.39964238068529E-2</v>
      </c>
      <c r="CF178" s="5">
        <v>0.142136412858237</v>
      </c>
      <c r="CG178" s="5">
        <v>-4.9162920343895002E-2</v>
      </c>
      <c r="CH178" s="5">
        <v>0.178998189773382</v>
      </c>
      <c r="CI178" s="5">
        <v>-0.111693221037408</v>
      </c>
      <c r="CJ178" s="5">
        <v>0.353501475915593</v>
      </c>
      <c r="CK178" s="5">
        <v>-0.14648264381058401</v>
      </c>
      <c r="CL178" s="5">
        <v>0.51857302527021099</v>
      </c>
      <c r="CM178" s="5">
        <v>-0.28279397242681897</v>
      </c>
      <c r="CN178" s="5">
        <v>0.58963779400008098</v>
      </c>
      <c r="CO178" s="5">
        <v>-0.33334830804705601</v>
      </c>
      <c r="CP178" s="5">
        <v>0.152323724306794</v>
      </c>
      <c r="CQ178" s="5">
        <v>-4.6481934174324002E-2</v>
      </c>
      <c r="CR178" s="5">
        <v>0.12007641014501801</v>
      </c>
      <c r="CS178" s="5">
        <v>1.6423044251895402E-2</v>
      </c>
      <c r="CT178" s="5">
        <v>0.44119855957042697</v>
      </c>
      <c r="CU178" s="5">
        <v>-0.230038322412629</v>
      </c>
      <c r="CV178" s="5">
        <v>0.13070282032932501</v>
      </c>
      <c r="CW178" s="5">
        <v>-2.56122181535566E-3</v>
      </c>
      <c r="CX178" s="5">
        <v>0.25996548098463801</v>
      </c>
      <c r="CY178" s="5">
        <v>-7.3860513000466504E-2</v>
      </c>
      <c r="CZ178" s="5">
        <v>0.24204839113455601</v>
      </c>
      <c r="DA178" s="5">
        <v>-9.4668679908953807E-2</v>
      </c>
      <c r="DB178" s="5">
        <v>0.26866929596641798</v>
      </c>
      <c r="DC178" s="5">
        <v>-6.9408112738114494E-2</v>
      </c>
      <c r="DD178" s="5">
        <v>0.119554579618404</v>
      </c>
      <c r="DE178" s="5">
        <v>1.9876897802540702E-2</v>
      </c>
      <c r="DF178" s="5">
        <v>0.247282281607902</v>
      </c>
      <c r="DG178" s="5">
        <v>-7.1298668801144605E-2</v>
      </c>
      <c r="DH178" s="5">
        <v>0.70892092958164499</v>
      </c>
      <c r="DI178" s="5">
        <v>-0.36298208849753</v>
      </c>
      <c r="DJ178" s="5">
        <v>0.296425323557309</v>
      </c>
      <c r="DK178" s="5">
        <v>-0.10200693686511</v>
      </c>
      <c r="DL178" s="5">
        <v>0.27245768298413198</v>
      </c>
      <c r="DM178" s="5">
        <v>-6.5968962995830299E-2</v>
      </c>
      <c r="DN178" s="5">
        <v>0.22106230267722601</v>
      </c>
      <c r="DO178" s="5">
        <v>-4.7306231065357703E-2</v>
      </c>
      <c r="DP178" s="5">
        <v>0.21553024280581701</v>
      </c>
      <c r="DQ178" s="5">
        <v>-3.0303664697563602E-2</v>
      </c>
      <c r="DR178" s="5">
        <v>0.76151375627228601</v>
      </c>
      <c r="DS178" s="5">
        <v>-0.45913770590524999</v>
      </c>
      <c r="DT178" s="5">
        <v>0.12635208853340299</v>
      </c>
      <c r="DU178" s="5">
        <v>-4.3227940387559102E-2</v>
      </c>
      <c r="DV178" s="5">
        <v>0.19598741409805401</v>
      </c>
      <c r="DW178" s="5">
        <v>-8.4032512353002298E-2</v>
      </c>
      <c r="DX178" s="5">
        <v>0.43291335763604299</v>
      </c>
      <c r="DY178" s="5">
        <v>-0.15747026244127901</v>
      </c>
      <c r="DZ178" s="5">
        <v>0.48460969192853198</v>
      </c>
      <c r="EA178" s="5">
        <v>-0.15417606482541801</v>
      </c>
      <c r="EB178" s="5">
        <v>0.17979768008056901</v>
      </c>
      <c r="EC178" s="5">
        <v>-5.3225785786029801E-2</v>
      </c>
      <c r="ED178" s="5">
        <v>0.230504768601516</v>
      </c>
      <c r="EE178" s="5">
        <v>-6.1846479695724398E-2</v>
      </c>
      <c r="EF178" s="5">
        <v>0.104359846270176</v>
      </c>
      <c r="EG178" s="5">
        <v>1.5478732671946899E-2</v>
      </c>
      <c r="EH178" s="5">
        <v>0.20802836520342999</v>
      </c>
      <c r="EI178" s="5">
        <v>-4.1720933897939801E-2</v>
      </c>
      <c r="EJ178" s="5">
        <v>0.21673356202940999</v>
      </c>
      <c r="EK178" s="5">
        <v>-4.2841694601772597E-2</v>
      </c>
      <c r="EL178" s="5">
        <v>0.24936406012162199</v>
      </c>
      <c r="EM178" s="5">
        <v>-0.100390621030438</v>
      </c>
      <c r="EN178" s="5">
        <v>0.67452511406340099</v>
      </c>
      <c r="EO178" s="5">
        <v>-0.37607945770699802</v>
      </c>
      <c r="EP178" s="5">
        <v>7.3695040135821802E-2</v>
      </c>
      <c r="EQ178" s="5">
        <v>2.0189688258840599E-2</v>
      </c>
      <c r="ER178" s="5">
        <v>0.25887704235847098</v>
      </c>
      <c r="ES178" s="5">
        <v>-0.108389827671353</v>
      </c>
      <c r="ET178" s="5">
        <v>0.13445779669006599</v>
      </c>
      <c r="EU178" s="5">
        <v>-4.1485099867726798E-2</v>
      </c>
      <c r="EV178" s="5">
        <v>0.13870125058933699</v>
      </c>
      <c r="EW178" s="5">
        <v>-6.4585708289625093E-2</v>
      </c>
      <c r="EX178" s="5">
        <v>0.15745507399728501</v>
      </c>
      <c r="EY178" s="5">
        <v>-2.3393565667921199E-2</v>
      </c>
      <c r="EZ178" s="5">
        <v>0.22505245572333599</v>
      </c>
      <c r="FA178" s="5">
        <v>-8.7014380717205603E-2</v>
      </c>
      <c r="FB178" s="5">
        <v>0.83580576491581304</v>
      </c>
      <c r="FC178" s="5">
        <v>-0.55982100768463094</v>
      </c>
      <c r="FD178" s="5">
        <v>0.17033715163927199</v>
      </c>
      <c r="FE178" s="5">
        <v>-4.8999527785589497E-2</v>
      </c>
      <c r="FF178" s="5">
        <v>0.76338270907697903</v>
      </c>
      <c r="FG178" s="5">
        <v>-0.48086482862938001</v>
      </c>
      <c r="FH178" s="5">
        <v>0.20475328192509101</v>
      </c>
      <c r="FI178" s="5">
        <v>-8.5547040520253206E-2</v>
      </c>
      <c r="FJ178" s="5">
        <v>0.24164611837738101</v>
      </c>
      <c r="FK178" s="5">
        <v>-4.0578605472065397E-2</v>
      </c>
      <c r="FL178" s="5">
        <v>0.36684224461612702</v>
      </c>
      <c r="FM178" s="5">
        <v>-3.3530411556803801E-2</v>
      </c>
      <c r="FN178" s="5">
        <v>0.38923484511467998</v>
      </c>
      <c r="FO178" s="5">
        <v>-6.3911415631855303E-2</v>
      </c>
      <c r="FP178" s="5">
        <v>0.26368187213188798</v>
      </c>
      <c r="FQ178" s="5">
        <v>-6.2241224281910701E-2</v>
      </c>
      <c r="FR178" s="5">
        <v>0.112336762295184</v>
      </c>
      <c r="FS178" s="5">
        <v>7.7223724119883097E-2</v>
      </c>
      <c r="FT178" s="5">
        <v>0.37232378404564398</v>
      </c>
      <c r="FU178" s="5">
        <v>-0.132485797708428</v>
      </c>
      <c r="FV178" s="5">
        <v>1</v>
      </c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</row>
    <row r="179" spans="1:389" x14ac:dyDescent="0.45">
      <c r="A179" s="4" t="str">
        <f ca="1">"ITA / beta2dist in "&amp;CELL("address",'damages-1990'!$K$90)</f>
        <v>ITA / beta2dist in '[BHM betas v3pd.xlsx]damages-1990'!$K$90</v>
      </c>
      <c r="B179" s="6">
        <v>-0.24278585047179899</v>
      </c>
      <c r="C179" s="5">
        <v>0.19467273955387299</v>
      </c>
      <c r="D179" s="5">
        <v>9.2356131735284494E-2</v>
      </c>
      <c r="E179" s="5">
        <v>6.3001479666411994E-2</v>
      </c>
      <c r="F179" s="5">
        <v>-0.65236936111761001</v>
      </c>
      <c r="G179" s="5">
        <v>0.73457682482330899</v>
      </c>
      <c r="H179" s="5">
        <v>-0.298586204738162</v>
      </c>
      <c r="I179" s="5">
        <v>0.15575802413746401</v>
      </c>
      <c r="J179" s="5">
        <v>1.80291961592759E-3</v>
      </c>
      <c r="K179" s="5">
        <v>0.19829808639600399</v>
      </c>
      <c r="L179" s="5">
        <v>-0.17800832894784799</v>
      </c>
      <c r="M179" s="5">
        <v>0.232510798781771</v>
      </c>
      <c r="N179" s="5">
        <v>-0.28881603956662699</v>
      </c>
      <c r="O179" s="5">
        <v>0.114464606576154</v>
      </c>
      <c r="P179" s="5">
        <v>1.6116748708059202E-2</v>
      </c>
      <c r="Q179" s="5">
        <v>5.68333558937901E-2</v>
      </c>
      <c r="R179" s="5">
        <v>2.0847840237012099E-3</v>
      </c>
      <c r="S179" s="5">
        <v>0.12716730131319201</v>
      </c>
      <c r="T179" s="5">
        <v>-0.40677730616802299</v>
      </c>
      <c r="U179" s="5">
        <v>0.31753138591435898</v>
      </c>
      <c r="V179" s="5">
        <v>-0.21973682926548499</v>
      </c>
      <c r="W179" s="5">
        <v>0.13989518273016099</v>
      </c>
      <c r="X179" s="5">
        <v>3.0188555896104498E-2</v>
      </c>
      <c r="Y179" s="5">
        <v>9.7852691826261495E-2</v>
      </c>
      <c r="Z179" s="5">
        <v>-0.53480617799062002</v>
      </c>
      <c r="AA179" s="5">
        <v>0.49048828333031602</v>
      </c>
      <c r="AB179" s="5">
        <v>3.8975105329031E-2</v>
      </c>
      <c r="AC179" s="5">
        <v>9.2760357933002399E-2</v>
      </c>
      <c r="AD179" s="5">
        <v>1.15575397517741E-2</v>
      </c>
      <c r="AE179" s="5">
        <v>0.10886950643992099</v>
      </c>
      <c r="AF179" s="5">
        <v>0.161365744326701</v>
      </c>
      <c r="AG179" s="5">
        <v>-3.0785447454391299E-2</v>
      </c>
      <c r="AH179" s="5">
        <v>-0.57084955084178801</v>
      </c>
      <c r="AI179" s="5">
        <v>0.59506056371856397</v>
      </c>
      <c r="AJ179" s="5">
        <v>-1.58256126716802E-2</v>
      </c>
      <c r="AK179" s="5">
        <v>0.18670622731327</v>
      </c>
      <c r="AL179" s="5">
        <v>-1.5653573096033001E-2</v>
      </c>
      <c r="AM179" s="5">
        <v>0.12412353418286901</v>
      </c>
      <c r="AN179" s="5">
        <v>-0.57997956388769301</v>
      </c>
      <c r="AO179" s="5">
        <v>0.55622823682840405</v>
      </c>
      <c r="AP179" s="5">
        <v>-0.35979541692516198</v>
      </c>
      <c r="AQ179" s="5">
        <v>0.25382014386947099</v>
      </c>
      <c r="AR179" s="5">
        <v>2.5784568421599499E-2</v>
      </c>
      <c r="AS179" s="5">
        <v>0.116565851314731</v>
      </c>
      <c r="AT179" s="5">
        <v>3.6079328157149898E-3</v>
      </c>
      <c r="AU179" s="5">
        <v>6.0776275215983798E-2</v>
      </c>
      <c r="AV179" s="5">
        <v>5.4465094302728403E-2</v>
      </c>
      <c r="AW179" s="5">
        <v>0.10324510879143101</v>
      </c>
      <c r="AX179" s="5">
        <v>9.9473088353482203E-2</v>
      </c>
      <c r="AY179" s="5">
        <v>0.11596821865045</v>
      </c>
      <c r="AZ179" s="5">
        <v>7.2563414038459798E-2</v>
      </c>
      <c r="BA179" s="5">
        <v>1.5183639479731101E-2</v>
      </c>
      <c r="BB179" s="5">
        <v>2.3490228574439199E-2</v>
      </c>
      <c r="BC179" s="5">
        <v>0.14708944575769201</v>
      </c>
      <c r="BD179" s="5">
        <v>-0.39048449789202999</v>
      </c>
      <c r="BE179" s="5">
        <v>0.314943506559275</v>
      </c>
      <c r="BF179" s="5">
        <v>9.8104808982775696E-2</v>
      </c>
      <c r="BG179" s="5">
        <v>1.28747406466585E-2</v>
      </c>
      <c r="BH179" s="5">
        <v>4.97900537935142E-2</v>
      </c>
      <c r="BI179" s="5">
        <v>0.10785045589100301</v>
      </c>
      <c r="BJ179" s="5">
        <v>-0.30881597679287498</v>
      </c>
      <c r="BK179" s="5">
        <v>5.5824043297599497E-2</v>
      </c>
      <c r="BL179" s="5">
        <v>-0.37587396296046799</v>
      </c>
      <c r="BM179" s="5">
        <v>0.26433505685063002</v>
      </c>
      <c r="BN179" s="5">
        <v>-0.29997041460366503</v>
      </c>
      <c r="BO179" s="5">
        <v>9.3963253923225201E-2</v>
      </c>
      <c r="BP179" s="5">
        <v>-0.39305553170402302</v>
      </c>
      <c r="BQ179" s="5">
        <v>0.21875426853737501</v>
      </c>
      <c r="BR179" s="5">
        <v>-6.17910984274785E-2</v>
      </c>
      <c r="BS179" s="5">
        <v>0.17877874579276201</v>
      </c>
      <c r="BT179" s="5">
        <v>3.3408858498742998E-2</v>
      </c>
      <c r="BU179" s="5">
        <v>0.13490230874860701</v>
      </c>
      <c r="BV179" s="5">
        <v>-9.8172319237032008E-4</v>
      </c>
      <c r="BW179" s="5">
        <v>0.190469902573601</v>
      </c>
      <c r="BX179" s="5">
        <v>-5.2034942458029703E-3</v>
      </c>
      <c r="BY179" s="5">
        <v>0.17534358416824999</v>
      </c>
      <c r="BZ179" s="5">
        <v>4.1740373695134296E-3</v>
      </c>
      <c r="CA179" s="5">
        <v>0.17640808914549699</v>
      </c>
      <c r="CB179" s="5">
        <v>-3.0900457386128402E-3</v>
      </c>
      <c r="CC179" s="5">
        <v>0.114116135110332</v>
      </c>
      <c r="CD179" s="5">
        <v>-1.52644061209547E-3</v>
      </c>
      <c r="CE179" s="5">
        <v>2.21652975579433E-2</v>
      </c>
      <c r="CF179" s="5">
        <v>6.3942447227208904E-2</v>
      </c>
      <c r="CG179" s="5">
        <v>4.7295547740887102E-2</v>
      </c>
      <c r="CH179" s="5">
        <v>1.9481649544132E-2</v>
      </c>
      <c r="CI179" s="5">
        <v>8.2316128124295299E-2</v>
      </c>
      <c r="CJ179" s="5">
        <v>-0.14834360380896</v>
      </c>
      <c r="CK179" s="5">
        <v>0.21869319679132501</v>
      </c>
      <c r="CL179" s="5">
        <v>-0.474003523792287</v>
      </c>
      <c r="CM179" s="5">
        <v>0.40663831160275499</v>
      </c>
      <c r="CN179" s="5">
        <v>-0.51828256007652096</v>
      </c>
      <c r="CO179" s="5">
        <v>0.46333599810159298</v>
      </c>
      <c r="CP179" s="5">
        <v>-5.8680989183974297E-2</v>
      </c>
      <c r="CQ179" s="5">
        <v>0.15139369267181499</v>
      </c>
      <c r="CR179" s="5">
        <v>4.1649807388794299E-2</v>
      </c>
      <c r="CS179" s="5">
        <v>2.7197778765021999E-2</v>
      </c>
      <c r="CT179" s="5">
        <v>-0.421021188350582</v>
      </c>
      <c r="CU179" s="5">
        <v>0.34007189642504898</v>
      </c>
      <c r="CV179" s="5">
        <v>-1.80305374446278E-3</v>
      </c>
      <c r="CW179" s="5">
        <v>8.2085485720535006E-2</v>
      </c>
      <c r="CX179" s="5">
        <v>-1.5307970702410001E-2</v>
      </c>
      <c r="CY179" s="5">
        <v>0.16303817393181699</v>
      </c>
      <c r="CZ179" s="5">
        <v>8.1402534396650197E-3</v>
      </c>
      <c r="DA179" s="5">
        <v>0.1205684033607</v>
      </c>
      <c r="DB179" s="5">
        <v>3.3558628479495499E-2</v>
      </c>
      <c r="DC179" s="5">
        <v>0.123985099382362</v>
      </c>
      <c r="DD179" s="5">
        <v>2.8496511678875201E-2</v>
      </c>
      <c r="DE179" s="5">
        <v>8.6926051426902504E-2</v>
      </c>
      <c r="DF179" s="5">
        <v>7.8595558101315095E-3</v>
      </c>
      <c r="DG179" s="5">
        <v>8.9400077983058004E-2</v>
      </c>
      <c r="DH179" s="5">
        <v>-0.42495372936749498</v>
      </c>
      <c r="DI179" s="5">
        <v>0.47534150243165701</v>
      </c>
      <c r="DJ179" s="5">
        <v>-0.32780854294491901</v>
      </c>
      <c r="DK179" s="5">
        <v>0.22046544211126001</v>
      </c>
      <c r="DL179" s="5">
        <v>-3.7596132659486498E-2</v>
      </c>
      <c r="DM179" s="5">
        <v>0.16113941221452999</v>
      </c>
      <c r="DN179" s="5">
        <v>-0.28800316018213201</v>
      </c>
      <c r="DO179" s="5">
        <v>0.15163325112738399</v>
      </c>
      <c r="DP179" s="5">
        <v>1.27832033558446E-2</v>
      </c>
      <c r="DQ179" s="5">
        <v>5.7072090632651999E-2</v>
      </c>
      <c r="DR179" s="5">
        <v>-0.590603113387829</v>
      </c>
      <c r="DS179" s="5">
        <v>0.61028461783066201</v>
      </c>
      <c r="DT179" s="5">
        <v>-3.4503277756339601E-2</v>
      </c>
      <c r="DU179" s="5">
        <v>9.94153622974593E-2</v>
      </c>
      <c r="DV179" s="5">
        <v>-3.5835007664274797E-2</v>
      </c>
      <c r="DW179" s="5">
        <v>0.167976303224634</v>
      </c>
      <c r="DX179" s="5">
        <v>-0.36815910458359802</v>
      </c>
      <c r="DY179" s="5">
        <v>0.247787908865097</v>
      </c>
      <c r="DZ179" s="5">
        <v>-0.31369868634017201</v>
      </c>
      <c r="EA179" s="5">
        <v>0.15465470034456999</v>
      </c>
      <c r="EB179" s="5">
        <v>-6.4565502788085597E-3</v>
      </c>
      <c r="EC179" s="5">
        <v>0.149202171645513</v>
      </c>
      <c r="ED179" s="5">
        <v>-1.87684381875559E-2</v>
      </c>
      <c r="EE179" s="5">
        <v>0.146018004424981</v>
      </c>
      <c r="EF179" s="5">
        <v>2.61181828428362E-2</v>
      </c>
      <c r="EG179" s="5">
        <v>3.90484526798014E-2</v>
      </c>
      <c r="EH179" s="5">
        <v>3.9262781952806199E-2</v>
      </c>
      <c r="EI179" s="5">
        <v>0.103071885664815</v>
      </c>
      <c r="EJ179" s="5">
        <v>1.52370284240828E-2</v>
      </c>
      <c r="EK179" s="5">
        <v>0.119593451158551</v>
      </c>
      <c r="EL179" s="5">
        <v>3.3713524638757902E-2</v>
      </c>
      <c r="EM179" s="5">
        <v>0.104190492377597</v>
      </c>
      <c r="EN179" s="5">
        <v>-0.455271076323088</v>
      </c>
      <c r="EO179" s="5">
        <v>0.50674391556263798</v>
      </c>
      <c r="EP179" s="5">
        <v>6.6618154867228399E-2</v>
      </c>
      <c r="EQ179" s="5">
        <v>2.4944000290646501E-2</v>
      </c>
      <c r="ER179" s="5">
        <v>1.1854939919244399E-2</v>
      </c>
      <c r="ES179" s="5">
        <v>0.13919671624094301</v>
      </c>
      <c r="ET179" s="5">
        <v>0.17532671407102299</v>
      </c>
      <c r="EU179" s="5">
        <v>-1.50534406857834E-2</v>
      </c>
      <c r="EV179" s="5">
        <v>0.129692230454614</v>
      </c>
      <c r="EW179" s="5">
        <v>6.3478798497345404E-2</v>
      </c>
      <c r="EX179" s="5">
        <v>0.170238916239808</v>
      </c>
      <c r="EY179" s="5">
        <v>-6.18950331532006E-2</v>
      </c>
      <c r="EZ179" s="5">
        <v>1.1873691656695599E-2</v>
      </c>
      <c r="FA179" s="5">
        <v>0.15598848528470399</v>
      </c>
      <c r="FB179" s="5">
        <v>-0.68907351503870795</v>
      </c>
      <c r="FC179" s="5">
        <v>0.76340996413492501</v>
      </c>
      <c r="FD179" s="5">
        <v>-7.3229535981997303E-3</v>
      </c>
      <c r="FE179" s="5">
        <v>0.11414234103795901</v>
      </c>
      <c r="FF179" s="5">
        <v>-0.64193181594072601</v>
      </c>
      <c r="FG179" s="5">
        <v>0.66859256554725599</v>
      </c>
      <c r="FH179" s="5">
        <v>0.11977951763957401</v>
      </c>
      <c r="FI179" s="5">
        <v>1.8438183759079699E-2</v>
      </c>
      <c r="FJ179" s="5">
        <v>5.9900635494025703E-2</v>
      </c>
      <c r="FK179" s="5">
        <v>8.7704619752866905E-2</v>
      </c>
      <c r="FL179" s="5">
        <v>-0.24505980441074399</v>
      </c>
      <c r="FM179" s="5">
        <v>7.6506090858627293E-2</v>
      </c>
      <c r="FN179" s="5">
        <v>-7.5398863970617402E-2</v>
      </c>
      <c r="FO179" s="5">
        <v>0.147633409254597</v>
      </c>
      <c r="FP179" s="5">
        <v>-3.0276363519595199E-3</v>
      </c>
      <c r="FQ179" s="5">
        <v>0.141091969900529</v>
      </c>
      <c r="FR179" s="5">
        <v>-7.1311800365905204E-2</v>
      </c>
      <c r="FS179" s="5">
        <v>-9.7347204196171294E-2</v>
      </c>
      <c r="FT179" s="5">
        <v>-7.4479321533452797E-2</v>
      </c>
      <c r="FU179" s="5">
        <v>0.203322089882949</v>
      </c>
      <c r="FV179" s="5">
        <v>-0.79507050655233502</v>
      </c>
      <c r="FW179" s="5">
        <v>1</v>
      </c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</row>
    <row r="180" spans="1:389" x14ac:dyDescent="0.45">
      <c r="A180" s="4" t="str">
        <f ca="1">"JAM / beta1dist in "&amp;CELL("address",'damages-1990'!$J$91)</f>
        <v>JAM / beta1dist in '[BHM betas v3pd.xlsx]damages-1990'!$J$91</v>
      </c>
      <c r="B180" s="6">
        <v>5.9543675457992697E-2</v>
      </c>
      <c r="C180" s="5">
        <v>0.31596676501992899</v>
      </c>
      <c r="D180" s="5">
        <v>0.51396475046857304</v>
      </c>
      <c r="E180" s="5">
        <v>-0.26378467518981102</v>
      </c>
      <c r="F180" s="5">
        <v>0.14237232934689401</v>
      </c>
      <c r="G180" s="5">
        <v>4.6401194947819899E-2</v>
      </c>
      <c r="H180" s="5">
        <v>-0.188687073620671</v>
      </c>
      <c r="I180" s="5">
        <v>0.187219023028451</v>
      </c>
      <c r="J180" s="5">
        <v>0.33986457800202202</v>
      </c>
      <c r="K180" s="5">
        <v>-2.42660113770224E-2</v>
      </c>
      <c r="L180" s="5">
        <v>0.16279230885733301</v>
      </c>
      <c r="M180" s="5">
        <v>0.16352190045882301</v>
      </c>
      <c r="N180" s="5">
        <v>0.114064102523323</v>
      </c>
      <c r="O180" s="5">
        <v>-0.174653725917636</v>
      </c>
      <c r="P180" s="5">
        <v>0.49301525116671702</v>
      </c>
      <c r="Q180" s="5">
        <v>-0.27111260280779398</v>
      </c>
      <c r="R180" s="5">
        <v>0.455504661827628</v>
      </c>
      <c r="S180" s="5">
        <v>-0.216498991701499</v>
      </c>
      <c r="T180" s="5">
        <v>-6.5660939461579707E-2</v>
      </c>
      <c r="U180" s="5">
        <v>7.1612763052781497E-2</v>
      </c>
      <c r="V180" s="5">
        <v>0.128277287827922</v>
      </c>
      <c r="W180" s="5">
        <v>0.22540419477804499</v>
      </c>
      <c r="X180" s="5">
        <v>0.56417763012651601</v>
      </c>
      <c r="Y180" s="5">
        <v>-0.33040785325830102</v>
      </c>
      <c r="Z180" s="5">
        <v>7.7886978208191E-3</v>
      </c>
      <c r="AA180" s="5">
        <v>7.5517214578792805E-2</v>
      </c>
      <c r="AB180" s="5">
        <v>0.37256099929188902</v>
      </c>
      <c r="AC180" s="5">
        <v>-0.20861336608835601</v>
      </c>
      <c r="AD180" s="5">
        <v>0.36539101523206202</v>
      </c>
      <c r="AE180" s="5">
        <v>-0.184620566140828</v>
      </c>
      <c r="AF180" s="5">
        <v>0.21650530756496</v>
      </c>
      <c r="AG180" s="5">
        <v>5.1997945961744403E-2</v>
      </c>
      <c r="AH180" s="5">
        <v>0.11460806874552</v>
      </c>
      <c r="AI180" s="5">
        <v>3.8955662641793697E-2</v>
      </c>
      <c r="AJ180" s="5">
        <v>0.32614459737737</v>
      </c>
      <c r="AK180" s="5">
        <v>1.6662844302728099E-2</v>
      </c>
      <c r="AL180" s="5">
        <v>0.65437838258870096</v>
      </c>
      <c r="AM180" s="5">
        <v>-0.57514168119878695</v>
      </c>
      <c r="AN180" s="5">
        <v>5.3472470458033897E-2</v>
      </c>
      <c r="AO180" s="5">
        <v>1.99723745312681E-2</v>
      </c>
      <c r="AP180" s="5">
        <v>-0.20629839858243601</v>
      </c>
      <c r="AQ180" s="5">
        <v>0.22335439653876499</v>
      </c>
      <c r="AR180" s="5">
        <v>0.583797167781549</v>
      </c>
      <c r="AS180" s="5">
        <v>-0.42590059299130401</v>
      </c>
      <c r="AT180" s="5">
        <v>0.25324203396386702</v>
      </c>
      <c r="AU180" s="5">
        <v>-9.3535543574143204E-2</v>
      </c>
      <c r="AV180" s="5">
        <v>0.47477753717676502</v>
      </c>
      <c r="AW180" s="5">
        <v>-0.27639633236636502</v>
      </c>
      <c r="AX180" s="5">
        <v>0.56276523270173795</v>
      </c>
      <c r="AY180" s="5">
        <v>-0.41664071873298297</v>
      </c>
      <c r="AZ180" s="5">
        <v>0.38521877698669899</v>
      </c>
      <c r="BA180" s="5">
        <v>-0.17564475314025699</v>
      </c>
      <c r="BB180" s="5">
        <v>0.34051897909575901</v>
      </c>
      <c r="BC180" s="5">
        <v>-3.1877828281927499E-2</v>
      </c>
      <c r="BD180" s="5">
        <v>4.0802007237378299E-2</v>
      </c>
      <c r="BE180" s="5">
        <v>0.25089052035982601</v>
      </c>
      <c r="BF180" s="5">
        <v>0.32415226916464002</v>
      </c>
      <c r="BG180" s="5">
        <v>-4.6033083658658602E-2</v>
      </c>
      <c r="BH180" s="5">
        <v>0.46957230602309202</v>
      </c>
      <c r="BI180" s="5">
        <v>-0.24261133758919801</v>
      </c>
      <c r="BJ180" s="5">
        <v>-0.31065676495962702</v>
      </c>
      <c r="BK180" s="5">
        <v>0.23925205701262001</v>
      </c>
      <c r="BL180" s="5">
        <v>-5.2987425401141201E-2</v>
      </c>
      <c r="BM180" s="5">
        <v>3.7948301198317699E-2</v>
      </c>
      <c r="BN180" s="5">
        <v>1.09107260942704E-2</v>
      </c>
      <c r="BO180" s="5">
        <v>1.7184568442469201E-2</v>
      </c>
      <c r="BP180" s="5">
        <v>-0.14682070985492601</v>
      </c>
      <c r="BQ180" s="5">
        <v>0.26514183432512201</v>
      </c>
      <c r="BR180" s="5">
        <v>0.47645810858541998</v>
      </c>
      <c r="BS180" s="5">
        <v>-0.31418712778027902</v>
      </c>
      <c r="BT180" s="5">
        <v>0.52208210799281995</v>
      </c>
      <c r="BU180" s="5">
        <v>-0.314117519539232</v>
      </c>
      <c r="BV180" s="5">
        <v>0.56510258728029505</v>
      </c>
      <c r="BW180" s="5">
        <v>-0.35785470847128398</v>
      </c>
      <c r="BX180" s="5">
        <v>0.44314038164219199</v>
      </c>
      <c r="BY180" s="5">
        <v>-0.28003227516361101</v>
      </c>
      <c r="BZ180" s="5">
        <v>0.55187314779596297</v>
      </c>
      <c r="CA180" s="5">
        <v>-0.39579993837479399</v>
      </c>
      <c r="CB180" s="5">
        <v>0.61116017134959499</v>
      </c>
      <c r="CC180" s="5">
        <v>-0.491641920072177</v>
      </c>
      <c r="CD180" s="5">
        <v>0.34060903199113302</v>
      </c>
      <c r="CE180" s="5">
        <v>-0.145702734519745</v>
      </c>
      <c r="CF180" s="5">
        <v>0.62966710166689499</v>
      </c>
      <c r="CG180" s="5">
        <v>-0.46862091473061801</v>
      </c>
      <c r="CH180" s="5">
        <v>0.62373407070896403</v>
      </c>
      <c r="CI180" s="5">
        <v>-0.55920424002394697</v>
      </c>
      <c r="CJ180" s="5">
        <v>0.21121085443661999</v>
      </c>
      <c r="CK180" s="5">
        <v>1.2832925728740299E-2</v>
      </c>
      <c r="CL180" s="5">
        <v>-4.8386021647729399E-2</v>
      </c>
      <c r="CM180" s="5">
        <v>9.2248463309363204E-2</v>
      </c>
      <c r="CN180" s="5">
        <v>-1.41879618751104E-2</v>
      </c>
      <c r="CO180" s="5">
        <v>7.7509078572566906E-2</v>
      </c>
      <c r="CP180" s="5">
        <v>0.27323283092281803</v>
      </c>
      <c r="CQ180" s="5">
        <v>-9.5028363324497295E-2</v>
      </c>
      <c r="CR180" s="5">
        <v>0.51400901050756997</v>
      </c>
      <c r="CS180" s="5">
        <v>-0.276550234822379</v>
      </c>
      <c r="CT180" s="5">
        <v>3.4447520627344099E-4</v>
      </c>
      <c r="CU180" s="5">
        <v>2.54427307535934E-2</v>
      </c>
      <c r="CV180" s="5">
        <v>0.63965485859429905</v>
      </c>
      <c r="CW180" s="5">
        <v>-0.44140415253959903</v>
      </c>
      <c r="CX180" s="5">
        <v>0.322103630101085</v>
      </c>
      <c r="CY180" s="5">
        <v>-4.5596706699559099E-2</v>
      </c>
      <c r="CZ180" s="5">
        <v>0.60821706367895301</v>
      </c>
      <c r="DA180" s="5">
        <v>-0.45677787161671601</v>
      </c>
      <c r="DB180" s="5">
        <v>0.284018319865045</v>
      </c>
      <c r="DC180" s="5">
        <v>0.11083572828925101</v>
      </c>
      <c r="DD180" s="5">
        <v>0.203526034037808</v>
      </c>
      <c r="DE180" s="5">
        <v>6.2580487147016603E-3</v>
      </c>
      <c r="DF180" s="5">
        <v>0.46972737218904997</v>
      </c>
      <c r="DG180" s="5">
        <v>-0.23005893355616799</v>
      </c>
      <c r="DH180" s="5">
        <v>0.281703105889689</v>
      </c>
      <c r="DI180" s="5">
        <v>-7.7494062900434105E-2</v>
      </c>
      <c r="DJ180" s="5">
        <v>-0.16771057536766101</v>
      </c>
      <c r="DK180" s="5">
        <v>0.16551676269412999</v>
      </c>
      <c r="DL180" s="5">
        <v>0.43162527327683597</v>
      </c>
      <c r="DM180" s="5">
        <v>-0.18532819871682901</v>
      </c>
      <c r="DN180" s="5">
        <v>-0.261303444475459</v>
      </c>
      <c r="DO180" s="5">
        <v>0.258254718099105</v>
      </c>
      <c r="DP180" s="5">
        <v>1.55652601977633E-2</v>
      </c>
      <c r="DQ180" s="5">
        <v>0.26351654074203601</v>
      </c>
      <c r="DR180" s="5">
        <v>7.5850310775879407E-2</v>
      </c>
      <c r="DS180" s="5">
        <v>6.5875053776258005E-2</v>
      </c>
      <c r="DT180" s="5">
        <v>0.20697089741257799</v>
      </c>
      <c r="DU180" s="5">
        <v>-3.81866750898818E-2</v>
      </c>
      <c r="DV180" s="5">
        <v>0.375172407619971</v>
      </c>
      <c r="DW180" s="5">
        <v>-0.22262175003720699</v>
      </c>
      <c r="DX180" s="5">
        <v>-0.16837236114753101</v>
      </c>
      <c r="DY180" s="5">
        <v>0.237962732437355</v>
      </c>
      <c r="DZ180" s="5">
        <v>6.5985404736660494E-2</v>
      </c>
      <c r="EA180" s="5">
        <v>-9.4576405355077206E-2</v>
      </c>
      <c r="EB180" s="5">
        <v>0.51098580133445604</v>
      </c>
      <c r="EC180" s="5">
        <v>-0.33003548243910003</v>
      </c>
      <c r="ED180" s="5">
        <v>0.461455041959491</v>
      </c>
      <c r="EE180" s="5">
        <v>-0.25073875102256998</v>
      </c>
      <c r="EF180" s="5">
        <v>0.50100155453267703</v>
      </c>
      <c r="EG180" s="5">
        <v>-0.27361898987637301</v>
      </c>
      <c r="EH180" s="5">
        <v>0.51535257382337496</v>
      </c>
      <c r="EI180" s="5">
        <v>-0.25449550598710702</v>
      </c>
      <c r="EJ180" s="5">
        <v>0.48467153283548597</v>
      </c>
      <c r="EK180" s="5">
        <v>-0.23224878621325301</v>
      </c>
      <c r="EL180" s="5">
        <v>0.63162333550630601</v>
      </c>
      <c r="EM180" s="5">
        <v>-0.46976634557623898</v>
      </c>
      <c r="EN180" s="5">
        <v>0.15587841811880801</v>
      </c>
      <c r="EO180" s="5">
        <v>6.9953711954673897E-2</v>
      </c>
      <c r="EP180" s="5">
        <v>0.39251866292476301</v>
      </c>
      <c r="EQ180" s="5">
        <v>-0.18866508919813699</v>
      </c>
      <c r="ER180" s="5">
        <v>0.51319576480196405</v>
      </c>
      <c r="ES180" s="5">
        <v>-0.35278158745548999</v>
      </c>
      <c r="ET180" s="5">
        <v>0.58574197796892902</v>
      </c>
      <c r="EU180" s="5">
        <v>-0.43358977654526998</v>
      </c>
      <c r="EV180" s="5">
        <v>0.55532683699665397</v>
      </c>
      <c r="EW180" s="5">
        <v>-0.39799305057794898</v>
      </c>
      <c r="EX180" s="5">
        <v>0.34453602601630601</v>
      </c>
      <c r="EY180" s="5">
        <v>-0.17222048651011901</v>
      </c>
      <c r="EZ180" s="5">
        <v>0.56286409288899897</v>
      </c>
      <c r="FA180" s="5">
        <v>-0.372148620852913</v>
      </c>
      <c r="FB180" s="5">
        <v>0.150339995067648</v>
      </c>
      <c r="FC180" s="5">
        <v>-1.45160193419001E-2</v>
      </c>
      <c r="FD180" s="5">
        <v>0.77193051610446195</v>
      </c>
      <c r="FE180" s="5">
        <v>-0.622510234774315</v>
      </c>
      <c r="FF180" s="5">
        <v>7.8263789643300594E-2</v>
      </c>
      <c r="FG180" s="5">
        <v>5.0762887369017198E-2</v>
      </c>
      <c r="FH180" s="5">
        <v>0.35120693503553402</v>
      </c>
      <c r="FI180" s="5">
        <v>-9.2950271638370593E-2</v>
      </c>
      <c r="FJ180" s="5">
        <v>0.26218921870172102</v>
      </c>
      <c r="FK180" s="5">
        <v>8.7336324364154394E-2</v>
      </c>
      <c r="FL180" s="5">
        <v>-0.275287984447671</v>
      </c>
      <c r="FM180" s="5">
        <v>0.34930305296425601</v>
      </c>
      <c r="FN180" s="5">
        <v>0.13602194394418801</v>
      </c>
      <c r="FO180" s="5">
        <v>0.238247239867479</v>
      </c>
      <c r="FP180" s="5">
        <v>0.31674010062369001</v>
      </c>
      <c r="FQ180" s="5">
        <v>3.8874877815279797E-2</v>
      </c>
      <c r="FR180" s="5">
        <v>-0.11485345024384799</v>
      </c>
      <c r="FS180" s="5">
        <v>9.7350094635515499E-2</v>
      </c>
      <c r="FT180" s="5">
        <v>0.31590292711543</v>
      </c>
      <c r="FU180" s="5">
        <v>5.1913457737451797E-2</v>
      </c>
      <c r="FV180" s="5">
        <v>0.21291634879542501</v>
      </c>
      <c r="FW180" s="5">
        <v>-2.51079671356738E-2</v>
      </c>
      <c r="FX180" s="5">
        <v>1</v>
      </c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</row>
    <row r="181" spans="1:389" x14ac:dyDescent="0.45">
      <c r="A181" s="4" t="str">
        <f ca="1">"JAM / beta2dist in "&amp;CELL("address",'damages-1990'!$K$91)</f>
        <v>JAM / beta2dist in '[BHM betas v3pd.xlsx]damages-1990'!$K$91</v>
      </c>
      <c r="B181" s="6">
        <v>7.2132732197254107E-2</v>
      </c>
      <c r="C181" s="5">
        <v>-0.15067084716326801</v>
      </c>
      <c r="D181" s="5">
        <v>-0.29132299814103901</v>
      </c>
      <c r="E181" s="5">
        <v>0.40156579220288002</v>
      </c>
      <c r="F181" s="5">
        <v>-4.6244573310454402E-2</v>
      </c>
      <c r="G181" s="5">
        <v>5.1322197195638998E-2</v>
      </c>
      <c r="H181" s="5">
        <v>0.103786279250553</v>
      </c>
      <c r="I181" s="5">
        <v>-0.14821251375150099</v>
      </c>
      <c r="J181" s="5">
        <v>-0.11906173194919401</v>
      </c>
      <c r="K181" s="5">
        <v>0.13246082113879501</v>
      </c>
      <c r="L181" s="5">
        <v>6.15512749082852E-2</v>
      </c>
      <c r="M181" s="5">
        <v>-0.115793854886732</v>
      </c>
      <c r="N181" s="5">
        <v>-0.12613072531786901</v>
      </c>
      <c r="O181" s="5">
        <v>0.190549667132932</v>
      </c>
      <c r="P181" s="5">
        <v>-0.43448074586789898</v>
      </c>
      <c r="Q181" s="5">
        <v>0.44765221979201902</v>
      </c>
      <c r="R181" s="5">
        <v>-0.19269321783786</v>
      </c>
      <c r="S181" s="5">
        <v>0.29552271752397402</v>
      </c>
      <c r="T181" s="5">
        <v>-3.81243751832233E-2</v>
      </c>
      <c r="U181" s="5">
        <v>3.4461213629547099E-2</v>
      </c>
      <c r="V181" s="5">
        <v>3.97330460292575E-2</v>
      </c>
      <c r="W181" s="5">
        <v>-0.13997643090915901</v>
      </c>
      <c r="X181" s="5">
        <v>-0.37292456069283197</v>
      </c>
      <c r="Y181" s="5">
        <v>0.483192746640701</v>
      </c>
      <c r="Z181" s="5">
        <v>-3.51737373986886E-2</v>
      </c>
      <c r="AA181" s="5">
        <v>2.8230343430419101E-2</v>
      </c>
      <c r="AB181" s="5">
        <v>-0.24303528603486499</v>
      </c>
      <c r="AC181" s="5">
        <v>0.37311453950014301</v>
      </c>
      <c r="AD181" s="5">
        <v>-0.25312241905003702</v>
      </c>
      <c r="AE181" s="5">
        <v>0.376030739381634</v>
      </c>
      <c r="AF181" s="5">
        <v>-1.4532242955691201E-2</v>
      </c>
      <c r="AG181" s="5">
        <v>2.8987154618566699E-2</v>
      </c>
      <c r="AH181" s="5">
        <v>-5.3214600200399802E-2</v>
      </c>
      <c r="AI181" s="5">
        <v>5.9058418706049297E-2</v>
      </c>
      <c r="AJ181" s="5">
        <v>-0.160153352488898</v>
      </c>
      <c r="AK181" s="5">
        <v>0.122998229210264</v>
      </c>
      <c r="AL181" s="5">
        <v>-0.42546254321589599</v>
      </c>
      <c r="AM181" s="5">
        <v>0.53314419570666005</v>
      </c>
      <c r="AN181" s="5">
        <v>-8.6080685630464296E-2</v>
      </c>
      <c r="AO181" s="5">
        <v>0.10950661380483701</v>
      </c>
      <c r="AP181" s="5">
        <v>6.86256129283115E-2</v>
      </c>
      <c r="AQ181" s="5">
        <v>-6.6091290389236099E-2</v>
      </c>
      <c r="AR181" s="5">
        <v>-0.393536682979228</v>
      </c>
      <c r="AS181" s="5">
        <v>0.51418957841320201</v>
      </c>
      <c r="AT181" s="5">
        <v>-3.2889387119878502E-2</v>
      </c>
      <c r="AU181" s="5">
        <v>2.3125700863969999E-2</v>
      </c>
      <c r="AV181" s="5">
        <v>-0.20676659223221999</v>
      </c>
      <c r="AW181" s="5">
        <v>0.375065970087336</v>
      </c>
      <c r="AX181" s="5">
        <v>-0.31719767110448199</v>
      </c>
      <c r="AY181" s="5">
        <v>0.53950782136669195</v>
      </c>
      <c r="AZ181" s="5">
        <v>-0.280781326141539</v>
      </c>
      <c r="BA181" s="5">
        <v>0.30331129448982702</v>
      </c>
      <c r="BB181" s="5">
        <v>-7.3800254568792106E-2</v>
      </c>
      <c r="BC181" s="5">
        <v>0.11270225566506099</v>
      </c>
      <c r="BD181" s="5">
        <v>6.4241501552815402E-3</v>
      </c>
      <c r="BE181" s="5">
        <v>-2.95748259217401E-2</v>
      </c>
      <c r="BF181" s="5">
        <v>-0.17030092889993401</v>
      </c>
      <c r="BG181" s="5">
        <v>0.172206403214199</v>
      </c>
      <c r="BH181" s="5">
        <v>-0.271322897814472</v>
      </c>
      <c r="BI181" s="5">
        <v>0.40045837781826299</v>
      </c>
      <c r="BJ181" s="5">
        <v>5.4433276029309197E-2</v>
      </c>
      <c r="BK181" s="5">
        <v>-0.12878869381015501</v>
      </c>
      <c r="BL181" s="5">
        <v>-5.4615739357856997E-2</v>
      </c>
      <c r="BM181" s="5">
        <v>4.5356641464137003E-2</v>
      </c>
      <c r="BN181" s="5">
        <v>-7.13392667461617E-2</v>
      </c>
      <c r="BO181" s="5">
        <v>9.1117470447666396E-2</v>
      </c>
      <c r="BP181" s="5">
        <v>6.7287100748059506E-2</v>
      </c>
      <c r="BQ181" s="5">
        <v>-0.156072954288481</v>
      </c>
      <c r="BR181" s="5">
        <v>-0.405212645843956</v>
      </c>
      <c r="BS181" s="5">
        <v>0.53890540985390101</v>
      </c>
      <c r="BT181" s="5">
        <v>-0.30949955794235401</v>
      </c>
      <c r="BU181" s="5">
        <v>0.47630175956207299</v>
      </c>
      <c r="BV181" s="5">
        <v>-0.36829620041023697</v>
      </c>
      <c r="BW181" s="5">
        <v>0.52864503735995005</v>
      </c>
      <c r="BX181" s="5">
        <v>-0.246206559709607</v>
      </c>
      <c r="BY181" s="5">
        <v>0.42470552158840502</v>
      </c>
      <c r="BZ181" s="5">
        <v>-0.34989633474069898</v>
      </c>
      <c r="CA181" s="5">
        <v>0.525902163808733</v>
      </c>
      <c r="CB181" s="5">
        <v>-0.45929519879045799</v>
      </c>
      <c r="CC181" s="5">
        <v>0.59157675333840898</v>
      </c>
      <c r="CD181" s="5">
        <v>-0.14145157910826001</v>
      </c>
      <c r="CE181" s="5">
        <v>0.14106529350370101</v>
      </c>
      <c r="CF181" s="5">
        <v>-0.51510320348243799</v>
      </c>
      <c r="CG181" s="5">
        <v>0.599622591354248</v>
      </c>
      <c r="CH181" s="5">
        <v>-0.40462176461256799</v>
      </c>
      <c r="CI181" s="5">
        <v>0.526532224622832</v>
      </c>
      <c r="CJ181" s="5">
        <v>-6.7653267966980998E-2</v>
      </c>
      <c r="CK181" s="5">
        <v>2.9887387519195101E-2</v>
      </c>
      <c r="CL181" s="5">
        <v>-1.8492419814436199E-2</v>
      </c>
      <c r="CM181" s="5">
        <v>8.2875156388209793E-3</v>
      </c>
      <c r="CN181" s="5">
        <v>-3.87039046490118E-2</v>
      </c>
      <c r="CO181" s="5">
        <v>2.82152730771402E-2</v>
      </c>
      <c r="CP181" s="5">
        <v>-0.21887749226628</v>
      </c>
      <c r="CQ181" s="5">
        <v>0.27298352183473201</v>
      </c>
      <c r="CR181" s="5">
        <v>-0.43509308631444199</v>
      </c>
      <c r="CS181" s="5">
        <v>0.44838423220176599</v>
      </c>
      <c r="CT181" s="5">
        <v>-9.84847271675936E-2</v>
      </c>
      <c r="CU181" s="5">
        <v>9.9125215409290507E-2</v>
      </c>
      <c r="CV181" s="5">
        <v>-0.53721107323805894</v>
      </c>
      <c r="CW181" s="5">
        <v>0.600653627564533</v>
      </c>
      <c r="CX181" s="5">
        <v>-0.13921090511224299</v>
      </c>
      <c r="CY181" s="5">
        <v>0.19407536941046299</v>
      </c>
      <c r="CZ181" s="5">
        <v>-0.41982100211386603</v>
      </c>
      <c r="DA181" s="5">
        <v>0.57017091774691797</v>
      </c>
      <c r="DB181" s="5">
        <v>-3.7712472004525599E-2</v>
      </c>
      <c r="DC181" s="5">
        <v>-2.88828359726904E-2</v>
      </c>
      <c r="DD181" s="5">
        <v>-0.107659129148212</v>
      </c>
      <c r="DE181" s="5">
        <v>0.177832330135337</v>
      </c>
      <c r="DF181" s="5">
        <v>-0.24677744333225499</v>
      </c>
      <c r="DG181" s="5">
        <v>0.27969644703734298</v>
      </c>
      <c r="DH181" s="5">
        <v>-0.15276831655730699</v>
      </c>
      <c r="DI181" s="5">
        <v>0.21489507321773799</v>
      </c>
      <c r="DJ181" s="5">
        <v>-1.38407924580101E-2</v>
      </c>
      <c r="DK181" s="5">
        <v>1.5313100069993001E-2</v>
      </c>
      <c r="DL181" s="5">
        <v>-0.26587336659820299</v>
      </c>
      <c r="DM181" s="5">
        <v>0.360756146376147</v>
      </c>
      <c r="DN181" s="5">
        <v>5.0096885394896699E-2</v>
      </c>
      <c r="DO181" s="5">
        <v>-8.9761484117582196E-2</v>
      </c>
      <c r="DP181" s="5">
        <v>0.24865515915337799</v>
      </c>
      <c r="DQ181" s="5">
        <v>-0.32064589736278498</v>
      </c>
      <c r="DR181" s="5">
        <v>-5.1984917668659897E-2</v>
      </c>
      <c r="DS181" s="5">
        <v>6.2529038816762694E-2</v>
      </c>
      <c r="DT181" s="5">
        <v>-0.13918363712055501</v>
      </c>
      <c r="DU181" s="5">
        <v>0.129219024128678</v>
      </c>
      <c r="DV181" s="5">
        <v>-0.20984433585166601</v>
      </c>
      <c r="DW181" s="5">
        <v>0.33967015573350101</v>
      </c>
      <c r="DX181" s="5">
        <v>9.8964066695156797E-2</v>
      </c>
      <c r="DY181" s="5">
        <v>-0.13729906689740201</v>
      </c>
      <c r="DZ181" s="5">
        <v>-6.4256925476375903E-2</v>
      </c>
      <c r="EA181" s="5">
        <v>0.122840750302717</v>
      </c>
      <c r="EB181" s="5">
        <v>-0.402949294603548</v>
      </c>
      <c r="EC181" s="5">
        <v>0.53123587828208696</v>
      </c>
      <c r="ED181" s="5">
        <v>-0.317544120864375</v>
      </c>
      <c r="EE181" s="5">
        <v>0.44099959455037402</v>
      </c>
      <c r="EF181" s="5">
        <v>-0.450138070306427</v>
      </c>
      <c r="EG181" s="5">
        <v>0.45472309013220902</v>
      </c>
      <c r="EH181" s="5">
        <v>-0.30814104420500199</v>
      </c>
      <c r="EI181" s="5">
        <v>0.38930985307635102</v>
      </c>
      <c r="EJ181" s="5">
        <v>-0.30898794137248098</v>
      </c>
      <c r="EK181" s="5">
        <v>0.40257694672622502</v>
      </c>
      <c r="EL181" s="5">
        <v>-0.416776148478673</v>
      </c>
      <c r="EM181" s="5">
        <v>0.57693363414074605</v>
      </c>
      <c r="EN181" s="5">
        <v>4.2277984629237902E-2</v>
      </c>
      <c r="EO181" s="5">
        <v>-7.6487385259931095E-2</v>
      </c>
      <c r="EP181" s="5">
        <v>-0.28520575889573502</v>
      </c>
      <c r="EQ181" s="5">
        <v>0.31498859196218099</v>
      </c>
      <c r="ER181" s="5">
        <v>-0.31217616302710699</v>
      </c>
      <c r="ES181" s="5">
        <v>0.47144004117817201</v>
      </c>
      <c r="ET181" s="5">
        <v>-0.358041926688073</v>
      </c>
      <c r="EU181" s="5">
        <v>0.50515145844449505</v>
      </c>
      <c r="EV181" s="5">
        <v>-0.38052990427649902</v>
      </c>
      <c r="EW181" s="5">
        <v>0.52921618365549605</v>
      </c>
      <c r="EX181" s="5">
        <v>-0.109727180712359</v>
      </c>
      <c r="EY181" s="5">
        <v>0.200368796934002</v>
      </c>
      <c r="EZ181" s="5">
        <v>-0.387163037714153</v>
      </c>
      <c r="FA181" s="5">
        <v>0.52179165298135</v>
      </c>
      <c r="FB181" s="5">
        <v>-0.110069567807589</v>
      </c>
      <c r="FC181" s="5">
        <v>0.14487627530672001</v>
      </c>
      <c r="FD181" s="5">
        <v>-0.63018868832576802</v>
      </c>
      <c r="FE181" s="5">
        <v>0.75848875875717003</v>
      </c>
      <c r="FF181" s="5">
        <v>-5.5252337542414702E-2</v>
      </c>
      <c r="FG181" s="5">
        <v>6.1886981777240002E-2</v>
      </c>
      <c r="FH181" s="5">
        <v>-1.76071511797173E-3</v>
      </c>
      <c r="FI181" s="5">
        <v>3.9466811625660098E-3</v>
      </c>
      <c r="FJ181" s="5">
        <v>-8.2460448466841908E-3</v>
      </c>
      <c r="FK181" s="5">
        <v>2.6670081502729601E-3</v>
      </c>
      <c r="FL181" s="5">
        <v>0.26823686950242198</v>
      </c>
      <c r="FM181" s="5">
        <v>-0.31256547862538597</v>
      </c>
      <c r="FN181" s="5">
        <v>5.9526225939914301E-2</v>
      </c>
      <c r="FO181" s="5">
        <v>-0.12584090899880601</v>
      </c>
      <c r="FP181" s="5">
        <v>-0.127303271963665</v>
      </c>
      <c r="FQ181" s="5">
        <v>6.7849689240383093E-2</v>
      </c>
      <c r="FR181" s="5">
        <v>0.13351098809964301</v>
      </c>
      <c r="FS181" s="5">
        <v>-0.15578483609455501</v>
      </c>
      <c r="FT181" s="5">
        <v>-0.107148639362329</v>
      </c>
      <c r="FU181" s="5">
        <v>4.96112319703838E-2</v>
      </c>
      <c r="FV181" s="5">
        <v>-0.100984592487881</v>
      </c>
      <c r="FW181" s="5">
        <v>0.143035128377975</v>
      </c>
      <c r="FX181" s="5">
        <v>-0.85764725647456297</v>
      </c>
      <c r="FY181" s="5">
        <v>1</v>
      </c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</row>
    <row r="182" spans="1:389" x14ac:dyDescent="0.45">
      <c r="A182" s="4" t="str">
        <f ca="1">"JOR / beta1dist in "&amp;CELL("address",'damages-1990'!$J$92)</f>
        <v>JOR / beta1dist in '[BHM betas v3pd.xlsx]damages-1990'!$J$92</v>
      </c>
      <c r="B182" s="6">
        <v>0.38727678452078601</v>
      </c>
      <c r="C182" s="5">
        <v>8.2280316575570597E-2</v>
      </c>
      <c r="D182" s="5">
        <v>0.46683149326926598</v>
      </c>
      <c r="E182" s="5">
        <v>-0.101479371940717</v>
      </c>
      <c r="F182" s="5">
        <v>0.34611584552679098</v>
      </c>
      <c r="G182" s="5">
        <v>-1.8615003993747398E-2</v>
      </c>
      <c r="H182" s="5">
        <v>-0.17200148217436101</v>
      </c>
      <c r="I182" s="5">
        <v>0.24631490277481799</v>
      </c>
      <c r="J182" s="5">
        <v>0.53215145642389305</v>
      </c>
      <c r="K182" s="5">
        <v>-0.187286721024228</v>
      </c>
      <c r="L182" s="5">
        <v>0.48608081060050901</v>
      </c>
      <c r="M182" s="5">
        <v>-7.4507997676478796E-2</v>
      </c>
      <c r="N182" s="5">
        <v>-0.11130256891594401</v>
      </c>
      <c r="O182" s="5">
        <v>0.30888943233254901</v>
      </c>
      <c r="P182" s="5">
        <v>0.17959258402515199</v>
      </c>
      <c r="Q182" s="5">
        <v>1.4712238954666199E-2</v>
      </c>
      <c r="R182" s="5">
        <v>0.54930623424110303</v>
      </c>
      <c r="S182" s="5">
        <v>-0.195521801196367</v>
      </c>
      <c r="T182" s="5">
        <v>-0.150755867915673</v>
      </c>
      <c r="U182" s="5">
        <v>0.25363337922638801</v>
      </c>
      <c r="V182" s="5">
        <v>0.42750160529161002</v>
      </c>
      <c r="W182" s="5">
        <v>4.9678395486883603E-2</v>
      </c>
      <c r="X182" s="5">
        <v>0.49016545747089701</v>
      </c>
      <c r="Y182" s="5">
        <v>-0.113111505300141</v>
      </c>
      <c r="Z182" s="5">
        <v>2.9193257188944999E-2</v>
      </c>
      <c r="AA182" s="5">
        <v>0.19539290585430899</v>
      </c>
      <c r="AB182" s="5">
        <v>0.35512721322033403</v>
      </c>
      <c r="AC182" s="5">
        <v>-0.111207361007494</v>
      </c>
      <c r="AD182" s="5">
        <v>0.37986755629194802</v>
      </c>
      <c r="AE182" s="5">
        <v>-9.6284095991334306E-2</v>
      </c>
      <c r="AF182" s="5">
        <v>0.35536701124539599</v>
      </c>
      <c r="AG182" s="5">
        <v>-4.2599098446008801E-2</v>
      </c>
      <c r="AH182" s="5">
        <v>0.23360464683420701</v>
      </c>
      <c r="AI182" s="5">
        <v>7.6315567077726895E-2</v>
      </c>
      <c r="AJ182" s="5">
        <v>0.50417413235919595</v>
      </c>
      <c r="AK182" s="5">
        <v>-0.17126420427853201</v>
      </c>
      <c r="AL182" s="5">
        <v>0.25647576447946702</v>
      </c>
      <c r="AM182" s="5">
        <v>-4.1372836984843599E-2</v>
      </c>
      <c r="AN182" s="5">
        <v>3.7196672163108901E-2</v>
      </c>
      <c r="AO182" s="5">
        <v>0.200848378792401</v>
      </c>
      <c r="AP182" s="5">
        <v>2.6933276657442998E-2</v>
      </c>
      <c r="AQ182" s="5">
        <v>3.1439623188387097E-2</v>
      </c>
      <c r="AR182" s="5">
        <v>0.35212327780777303</v>
      </c>
      <c r="AS182" s="5">
        <v>-7.5782070115751804E-2</v>
      </c>
      <c r="AT182" s="5">
        <v>0.183526903967384</v>
      </c>
      <c r="AU182" s="5">
        <v>4.3278653672347803E-2</v>
      </c>
      <c r="AV182" s="5">
        <v>0.58518352374243099</v>
      </c>
      <c r="AW182" s="5">
        <v>-0.26314041376163699</v>
      </c>
      <c r="AX182" s="5">
        <v>0.50622644257862004</v>
      </c>
      <c r="AY182" s="5">
        <v>-0.16479120994909399</v>
      </c>
      <c r="AZ182" s="5">
        <v>0.21608053025082399</v>
      </c>
      <c r="BA182" s="5">
        <v>-6.2382938215659899E-2</v>
      </c>
      <c r="BB182" s="5">
        <v>0.475905960434852</v>
      </c>
      <c r="BC182" s="5">
        <v>-0.12938003913894799</v>
      </c>
      <c r="BD182" s="5">
        <v>0.27270732395727998</v>
      </c>
      <c r="BE182" s="5">
        <v>0.16396319955538</v>
      </c>
      <c r="BF182" s="5">
        <v>0.324049466748417</v>
      </c>
      <c r="BG182" s="5">
        <v>2.5632278418257601E-3</v>
      </c>
      <c r="BH182" s="5">
        <v>0.42942760309834199</v>
      </c>
      <c r="BI182" s="5">
        <v>-0.115384607894717</v>
      </c>
      <c r="BJ182" s="5">
        <v>-0.27371544679715898</v>
      </c>
      <c r="BK182" s="5">
        <v>0.23695905881801299</v>
      </c>
      <c r="BL182" s="5">
        <v>-0.188825306428686</v>
      </c>
      <c r="BM182" s="5">
        <v>0.27787293727638601</v>
      </c>
      <c r="BN182" s="5">
        <v>0.102787862670914</v>
      </c>
      <c r="BO182" s="5">
        <v>0.10294329007865</v>
      </c>
      <c r="BP182" s="5">
        <v>-5.7353086731398197E-3</v>
      </c>
      <c r="BQ182" s="5">
        <v>0.23884976795879001</v>
      </c>
      <c r="BR182" s="5">
        <v>0.39192758899702401</v>
      </c>
      <c r="BS182" s="5">
        <v>-0.12169353659132499</v>
      </c>
      <c r="BT182" s="5">
        <v>0.50654601434980195</v>
      </c>
      <c r="BU182" s="5">
        <v>-0.19339187419360601</v>
      </c>
      <c r="BV182" s="5">
        <v>0.50840832779283496</v>
      </c>
      <c r="BW182" s="5">
        <v>-0.175974361352289</v>
      </c>
      <c r="BX182" s="5">
        <v>0.47122865269041803</v>
      </c>
      <c r="BY182" s="5">
        <v>-0.191099435923616</v>
      </c>
      <c r="BZ182" s="5">
        <v>0.518713733222812</v>
      </c>
      <c r="CA182" s="5">
        <v>-0.19767249097130499</v>
      </c>
      <c r="CB182" s="5">
        <v>0.29833877795559899</v>
      </c>
      <c r="CC182" s="5">
        <v>-0.102211448969559</v>
      </c>
      <c r="CD182" s="5">
        <v>0.154796886178827</v>
      </c>
      <c r="CE182" s="5">
        <v>6.4346412737541103E-2</v>
      </c>
      <c r="CF182" s="5">
        <v>0.28351213063277098</v>
      </c>
      <c r="CG182" s="5">
        <v>-6.3694711692989403E-2</v>
      </c>
      <c r="CH182" s="5">
        <v>0.169438253975954</v>
      </c>
      <c r="CI182" s="5">
        <v>3.5858779651495601E-2</v>
      </c>
      <c r="CJ182" s="5">
        <v>0.62135272727698398</v>
      </c>
      <c r="CK182" s="5">
        <v>-0.38575445695955302</v>
      </c>
      <c r="CL182" s="5">
        <v>-4.9095742648311298E-2</v>
      </c>
      <c r="CM182" s="5">
        <v>0.19759501596251</v>
      </c>
      <c r="CN182" s="5">
        <v>9.3183722448320107E-3</v>
      </c>
      <c r="CO182" s="5">
        <v>0.17649893022279201</v>
      </c>
      <c r="CP182" s="5">
        <v>0.36874825406091799</v>
      </c>
      <c r="CQ182" s="5">
        <v>-0.13868769659659</v>
      </c>
      <c r="CR182" s="5">
        <v>0.21377496006459201</v>
      </c>
      <c r="CS182" s="5">
        <v>-9.6804602043274908E-3</v>
      </c>
      <c r="CT182" s="5">
        <v>2.82394041806289E-2</v>
      </c>
      <c r="CU182" s="5">
        <v>6.56083440141388E-2</v>
      </c>
      <c r="CV182" s="5">
        <v>0.25001860715845597</v>
      </c>
      <c r="CW182" s="5">
        <v>-3.8815945544960401E-2</v>
      </c>
      <c r="CX182" s="5">
        <v>0.599784438869293</v>
      </c>
      <c r="CY182" s="5">
        <v>-0.26108673768219398</v>
      </c>
      <c r="CZ182" s="5">
        <v>0.45070464345998701</v>
      </c>
      <c r="DA182" s="5">
        <v>-0.119226728899538</v>
      </c>
      <c r="DB182" s="5">
        <v>0.75128408035412797</v>
      </c>
      <c r="DC182" s="5">
        <v>-0.41539475505075901</v>
      </c>
      <c r="DD182" s="5">
        <v>0.37436363826470298</v>
      </c>
      <c r="DE182" s="5">
        <v>-8.3139424423517294E-2</v>
      </c>
      <c r="DF182" s="5">
        <v>0.39069503305223302</v>
      </c>
      <c r="DG182" s="5">
        <v>-8.1181746843137198E-2</v>
      </c>
      <c r="DH182" s="5">
        <v>0.434528633920643</v>
      </c>
      <c r="DI182" s="5">
        <v>-6.8429811232922799E-2</v>
      </c>
      <c r="DJ182" s="5">
        <v>3.1856288914237897E-2</v>
      </c>
      <c r="DK182" s="5">
        <v>-6.36568063679528E-3</v>
      </c>
      <c r="DL182" s="5">
        <v>0.42145713069005403</v>
      </c>
      <c r="DM182" s="5">
        <v>-0.100064940285239</v>
      </c>
      <c r="DN182" s="5">
        <v>-7.4395764246368595E-2</v>
      </c>
      <c r="DO182" s="5">
        <v>5.3673880036283199E-2</v>
      </c>
      <c r="DP182" s="5">
        <v>0.35483074499023798</v>
      </c>
      <c r="DQ182" s="5">
        <v>-4.8701001728736003E-2</v>
      </c>
      <c r="DR182" s="5">
        <v>0.17482889321685599</v>
      </c>
      <c r="DS182" s="5">
        <v>0.138658323123033</v>
      </c>
      <c r="DT182" s="5">
        <v>0.36919193602967298</v>
      </c>
      <c r="DU182" s="5">
        <v>-0.20159935415298699</v>
      </c>
      <c r="DV182" s="5">
        <v>0.36818456314478898</v>
      </c>
      <c r="DW182" s="5">
        <v>-0.117920791540324</v>
      </c>
      <c r="DX182" s="5">
        <v>9.9973489928734094E-4</v>
      </c>
      <c r="DY182" s="5">
        <v>0.11020631229849499</v>
      </c>
      <c r="DZ182" s="5">
        <v>-5.1668391285727797E-2</v>
      </c>
      <c r="EA182" s="5">
        <v>0.27361731410548201</v>
      </c>
      <c r="EB182" s="5">
        <v>0.40832622504877403</v>
      </c>
      <c r="EC182" s="5">
        <v>-0.135115523200912</v>
      </c>
      <c r="ED182" s="5">
        <v>0.45696483649991898</v>
      </c>
      <c r="EE182" s="5">
        <v>-0.13754211668810201</v>
      </c>
      <c r="EF182" s="5">
        <v>0.18197836639743201</v>
      </c>
      <c r="EG182" s="5">
        <v>1.17129283707925E-2</v>
      </c>
      <c r="EH182" s="5">
        <v>0.49242659217273799</v>
      </c>
      <c r="EI182" s="5">
        <v>-0.16539095114622501</v>
      </c>
      <c r="EJ182" s="5">
        <v>0.507349485953553</v>
      </c>
      <c r="EK182" s="5">
        <v>-0.16537214581467</v>
      </c>
      <c r="EL182" s="5">
        <v>0.51639106285924097</v>
      </c>
      <c r="EM182" s="5">
        <v>-0.247531244094123</v>
      </c>
      <c r="EN182" s="5">
        <v>0.60100934565293496</v>
      </c>
      <c r="EO182" s="5">
        <v>-0.29680591933929701</v>
      </c>
      <c r="EP182" s="5">
        <v>0.20521398423744699</v>
      </c>
      <c r="EQ182" s="5">
        <v>-4.5414753995857697E-2</v>
      </c>
      <c r="ER182" s="5">
        <v>0.37217252393043398</v>
      </c>
      <c r="ES182" s="5">
        <v>-3.1171704532439101E-2</v>
      </c>
      <c r="ET182" s="5">
        <v>0.28185241192987898</v>
      </c>
      <c r="EU182" s="5">
        <v>-1.53583189671204E-2</v>
      </c>
      <c r="EV182" s="5">
        <v>0.40649648971228902</v>
      </c>
      <c r="EW182" s="5">
        <v>-0.16536032981222401</v>
      </c>
      <c r="EX182" s="5">
        <v>0.25180204456282801</v>
      </c>
      <c r="EY182" s="5">
        <v>5.9002071252868098E-3</v>
      </c>
      <c r="EZ182" s="5">
        <v>0.36093818942301897</v>
      </c>
      <c r="FA182" s="5">
        <v>-7.02326512044609E-2</v>
      </c>
      <c r="FB182" s="5">
        <v>0.22010485941144001</v>
      </c>
      <c r="FC182" s="5">
        <v>9.5971481067967296E-2</v>
      </c>
      <c r="FD182" s="5">
        <v>0.25494651868521001</v>
      </c>
      <c r="FE182" s="5">
        <v>-3.1762487331007297E-2</v>
      </c>
      <c r="FF182" s="5">
        <v>0.17282050929554499</v>
      </c>
      <c r="FG182" s="5">
        <v>0.100350023350469</v>
      </c>
      <c r="FH182" s="5">
        <v>0.49705734953567499</v>
      </c>
      <c r="FI182" s="5">
        <v>-0.25972511752898902</v>
      </c>
      <c r="FJ182" s="5">
        <v>0.35893356079820399</v>
      </c>
      <c r="FK182" s="5">
        <v>7.2455748082044802E-2</v>
      </c>
      <c r="FL182" s="5">
        <v>5.3227263865253303E-2</v>
      </c>
      <c r="FM182" s="5">
        <v>5.6050483761056397E-2</v>
      </c>
      <c r="FN182" s="5">
        <v>0.56301595193699505</v>
      </c>
      <c r="FO182" s="5">
        <v>-0.14811637110288101</v>
      </c>
      <c r="FP182" s="5">
        <v>0.72949022336588198</v>
      </c>
      <c r="FQ182" s="5">
        <v>-0.420597451440135</v>
      </c>
      <c r="FR182" s="5">
        <v>-9.4287769263652899E-2</v>
      </c>
      <c r="FS182" s="5">
        <v>8.8005092768541904E-3</v>
      </c>
      <c r="FT182" s="5">
        <v>0.84804222595525502</v>
      </c>
      <c r="FU182" s="5">
        <v>-0.54189303633461705</v>
      </c>
      <c r="FV182" s="5">
        <v>0.39851075293391602</v>
      </c>
      <c r="FW182" s="5">
        <v>-7.1759114065592294E-2</v>
      </c>
      <c r="FX182" s="5">
        <v>0.35450271467408301</v>
      </c>
      <c r="FY182" s="5">
        <v>-0.121404068908453</v>
      </c>
      <c r="FZ182" s="5">
        <v>1</v>
      </c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</row>
    <row r="183" spans="1:389" x14ac:dyDescent="0.45">
      <c r="A183" s="4" t="str">
        <f ca="1">"JOR / beta2dist in "&amp;CELL("address",'damages-1990'!$K$92)</f>
        <v>JOR / beta2dist in '[BHM betas v3pd.xlsx]damages-1990'!$K$92</v>
      </c>
      <c r="B183" s="6">
        <v>-0.12539131484343599</v>
      </c>
      <c r="C183" s="5">
        <v>0.16334054147055399</v>
      </c>
      <c r="D183" s="5">
        <v>-3.8735856336568501E-2</v>
      </c>
      <c r="E183" s="5">
        <v>0.170120659456169</v>
      </c>
      <c r="F183" s="5">
        <v>-0.16599569696094299</v>
      </c>
      <c r="G183" s="5">
        <v>0.216732079269574</v>
      </c>
      <c r="H183" s="5">
        <v>-5.5979693876698103E-4</v>
      </c>
      <c r="I183" s="5">
        <v>-0.10326787210161199</v>
      </c>
      <c r="J183" s="5">
        <v>-0.14344229607289999</v>
      </c>
      <c r="K183" s="5">
        <v>0.29921895437831803</v>
      </c>
      <c r="L183" s="5">
        <v>-0.10374114350359501</v>
      </c>
      <c r="M183" s="5">
        <v>0.14869496483703501</v>
      </c>
      <c r="N183" s="5">
        <v>0.230613332524362</v>
      </c>
      <c r="O183" s="5">
        <v>-0.43331596749089002</v>
      </c>
      <c r="P183" s="5">
        <v>8.5016859694697702E-2</v>
      </c>
      <c r="Q183" s="5">
        <v>1.64669636249389E-2</v>
      </c>
      <c r="R183" s="5">
        <v>-0.14260424062722701</v>
      </c>
      <c r="S183" s="5">
        <v>0.29109102855139801</v>
      </c>
      <c r="T183" s="5">
        <v>9.3931238224194399E-2</v>
      </c>
      <c r="U183" s="5">
        <v>-0.17157229082966799</v>
      </c>
      <c r="V183" s="5">
        <v>-0.14444150423201599</v>
      </c>
      <c r="W183" s="5">
        <v>0.132591844893376</v>
      </c>
      <c r="X183" s="5">
        <v>-8.8696775632362598E-2</v>
      </c>
      <c r="Y183" s="5">
        <v>0.20006199987276499</v>
      </c>
      <c r="Z183" s="5">
        <v>-1.13762841412603E-3</v>
      </c>
      <c r="AA183" s="5">
        <v>-4.8930050243854099E-2</v>
      </c>
      <c r="AB183" s="5">
        <v>-5.06873001600582E-2</v>
      </c>
      <c r="AC183" s="5">
        <v>0.16375021394459199</v>
      </c>
      <c r="AD183" s="5">
        <v>-0.13286852433843799</v>
      </c>
      <c r="AE183" s="5">
        <v>0.22338632917316301</v>
      </c>
      <c r="AF183" s="5">
        <v>7.7413843851164094E-2</v>
      </c>
      <c r="AG183" s="5">
        <v>2.8865773309108998E-3</v>
      </c>
      <c r="AH183" s="5">
        <v>-9.8524448197445297E-2</v>
      </c>
      <c r="AI183" s="5">
        <v>9.6956634406695399E-2</v>
      </c>
      <c r="AJ183" s="5">
        <v>-0.16048636030753699</v>
      </c>
      <c r="AK183" s="5">
        <v>0.32476182811279303</v>
      </c>
      <c r="AL183" s="5">
        <v>0.16624391100241401</v>
      </c>
      <c r="AM183" s="5">
        <v>-0.12618561885589599</v>
      </c>
      <c r="AN183" s="5">
        <v>3.4249806064013698E-2</v>
      </c>
      <c r="AO183" s="5">
        <v>-9.3152923479028094E-2</v>
      </c>
      <c r="AP183" s="5">
        <v>-0.27273301768639802</v>
      </c>
      <c r="AQ183" s="5">
        <v>0.27976839516696</v>
      </c>
      <c r="AR183" s="5">
        <v>0.107925900185379</v>
      </c>
      <c r="AS183" s="5">
        <v>-1.1727274290133E-2</v>
      </c>
      <c r="AT183" s="5">
        <v>0.20171179926639099</v>
      </c>
      <c r="AU183" s="5">
        <v>-0.19038257890841101</v>
      </c>
      <c r="AV183" s="5">
        <v>-9.3285859611831404E-2</v>
      </c>
      <c r="AW183" s="5">
        <v>0.26932052787746702</v>
      </c>
      <c r="AX183" s="5">
        <v>-1.4104349863376601E-3</v>
      </c>
      <c r="AY183" s="5">
        <v>0.125423419690562</v>
      </c>
      <c r="AZ183" s="5">
        <v>8.2754729686784795E-2</v>
      </c>
      <c r="BA183" s="5">
        <v>6.0036600060822301E-2</v>
      </c>
      <c r="BB183" s="5">
        <v>-9.6027325086838394E-2</v>
      </c>
      <c r="BC183" s="5">
        <v>0.24100660874222499</v>
      </c>
      <c r="BD183" s="5">
        <v>-0.16480118793611301</v>
      </c>
      <c r="BE183" s="5">
        <v>0.207814616003863</v>
      </c>
      <c r="BF183" s="5">
        <v>5.98306667574348E-2</v>
      </c>
      <c r="BG183" s="5">
        <v>1.93886541970902E-2</v>
      </c>
      <c r="BH183" s="5">
        <v>2.6023647241335199E-2</v>
      </c>
      <c r="BI183" s="5">
        <v>0.12420477390866801</v>
      </c>
      <c r="BJ183" s="5">
        <v>-1.0144819056456301E-2</v>
      </c>
      <c r="BK183" s="5">
        <v>-0.161552979468951</v>
      </c>
      <c r="BL183" s="5">
        <v>0.111532865476235</v>
      </c>
      <c r="BM183" s="5">
        <v>-0.21548002132233501</v>
      </c>
      <c r="BN183" s="5">
        <v>-9.7173312588693703E-2</v>
      </c>
      <c r="BO183" s="5">
        <v>2.31276769908264E-2</v>
      </c>
      <c r="BP183" s="5">
        <v>-0.13672513640072301</v>
      </c>
      <c r="BQ183" s="5">
        <v>6.2930702943109998E-2</v>
      </c>
      <c r="BR183" s="5">
        <v>-0.17369480023743999</v>
      </c>
      <c r="BS183" s="5">
        <v>0.25945257472045602</v>
      </c>
      <c r="BT183" s="5">
        <v>-5.4948545059930298E-2</v>
      </c>
      <c r="BU183" s="5">
        <v>0.23170398254786301</v>
      </c>
      <c r="BV183" s="5">
        <v>-0.126417774005364</v>
      </c>
      <c r="BW183" s="5">
        <v>0.27772721135557499</v>
      </c>
      <c r="BX183" s="5">
        <v>-0.14854171178403699</v>
      </c>
      <c r="BY183" s="5">
        <v>0.29337298859968203</v>
      </c>
      <c r="BZ183" s="5">
        <v>-0.14044165919434301</v>
      </c>
      <c r="CA183" s="5">
        <v>0.23608386759629699</v>
      </c>
      <c r="CB183" s="5">
        <v>2.3913655453406998E-2</v>
      </c>
      <c r="CC183" s="5">
        <v>0.115511852995444</v>
      </c>
      <c r="CD183" s="5">
        <v>0.1465324375117</v>
      </c>
      <c r="CE183" s="5">
        <v>-8.6385549672653897E-2</v>
      </c>
      <c r="CF183" s="5">
        <v>0.116651372605723</v>
      </c>
      <c r="CG183" s="5">
        <v>-2.4343584268059701E-2</v>
      </c>
      <c r="CH183" s="5">
        <v>0.265358202193759</v>
      </c>
      <c r="CI183" s="5">
        <v>-0.24962948261019999</v>
      </c>
      <c r="CJ183" s="5">
        <v>-0.40703438255783603</v>
      </c>
      <c r="CK183" s="5">
        <v>0.56829685348006997</v>
      </c>
      <c r="CL183" s="5">
        <v>1.9785358658882299E-2</v>
      </c>
      <c r="CM183" s="5">
        <v>-8.0293061364819202E-2</v>
      </c>
      <c r="CN183" s="5">
        <v>-3.3590408796899202E-2</v>
      </c>
      <c r="CO183" s="5">
        <v>-2.07655124537089E-2</v>
      </c>
      <c r="CP183" s="5">
        <v>-0.18644389132053599</v>
      </c>
      <c r="CQ183" s="5">
        <v>0.26204817124624002</v>
      </c>
      <c r="CR183" s="5">
        <v>8.2304059856086201E-2</v>
      </c>
      <c r="CS183" s="5">
        <v>3.4643386031799901E-2</v>
      </c>
      <c r="CT183" s="5">
        <v>-0.13850596257132999</v>
      </c>
      <c r="CU183" s="5">
        <v>0.116872740268713</v>
      </c>
      <c r="CV183" s="5">
        <v>-4.1514288109779703E-2</v>
      </c>
      <c r="CW183" s="5">
        <v>0.16256524745183201</v>
      </c>
      <c r="CX183" s="5">
        <v>-0.27385980855820202</v>
      </c>
      <c r="CY183" s="5">
        <v>0.42879095038316301</v>
      </c>
      <c r="CZ183" s="5">
        <v>-5.6304236326333003E-2</v>
      </c>
      <c r="DA183" s="5">
        <v>0.11226323154754</v>
      </c>
      <c r="DB183" s="5">
        <v>-0.40750333762500301</v>
      </c>
      <c r="DC183" s="5">
        <v>0.64760679921300801</v>
      </c>
      <c r="DD183" s="5">
        <v>-0.15800197644994299</v>
      </c>
      <c r="DE183" s="5">
        <v>0.24773321813451599</v>
      </c>
      <c r="DF183" s="5">
        <v>5.6513174749909301E-2</v>
      </c>
      <c r="DG183" s="5">
        <v>3.1913234271852303E-2</v>
      </c>
      <c r="DH183" s="5">
        <v>-0.14387274936347799</v>
      </c>
      <c r="DI183" s="5">
        <v>0.23571385964160901</v>
      </c>
      <c r="DJ183" s="5">
        <v>-0.32616535292835602</v>
      </c>
      <c r="DK183" s="5">
        <v>0.33069942160619298</v>
      </c>
      <c r="DL183" s="5">
        <v>-2.8089410383303402E-2</v>
      </c>
      <c r="DM183" s="5">
        <v>0.18581484693008199</v>
      </c>
      <c r="DN183" s="5">
        <v>-0.26976867770775298</v>
      </c>
      <c r="DO183" s="5">
        <v>0.250426562700855</v>
      </c>
      <c r="DP183" s="5">
        <v>-4.9090174364193398E-2</v>
      </c>
      <c r="DQ183" s="5">
        <v>7.8138566135491902E-2</v>
      </c>
      <c r="DR183" s="5">
        <v>-5.2596251794034002E-2</v>
      </c>
      <c r="DS183" s="5">
        <v>2.5805234783808001E-2</v>
      </c>
      <c r="DT183" s="5">
        <v>-0.21080536776886299</v>
      </c>
      <c r="DU183" s="5">
        <v>0.26541203267203001</v>
      </c>
      <c r="DV183" s="5">
        <v>-0.1623035385779</v>
      </c>
      <c r="DW183" s="5">
        <v>0.26667591638247701</v>
      </c>
      <c r="DX183" s="5">
        <v>-0.14688236248557801</v>
      </c>
      <c r="DY183" s="5">
        <v>0.14769088918006301</v>
      </c>
      <c r="DZ183" s="5">
        <v>0.152516923213322</v>
      </c>
      <c r="EA183" s="5">
        <v>-0.33551521961742098</v>
      </c>
      <c r="EB183" s="5">
        <v>-0.106244912468329</v>
      </c>
      <c r="EC183" s="5">
        <v>0.22790805993644001</v>
      </c>
      <c r="ED183" s="5">
        <v>-0.13674610360891701</v>
      </c>
      <c r="EE183" s="5">
        <v>0.23838972509786899</v>
      </c>
      <c r="EF183" s="5">
        <v>8.2045009575426403E-2</v>
      </c>
      <c r="EG183" s="5">
        <v>2.1553333841632601E-2</v>
      </c>
      <c r="EH183" s="5">
        <v>-0.101769464234669</v>
      </c>
      <c r="EI183" s="5">
        <v>0.234191936515671</v>
      </c>
      <c r="EJ183" s="5">
        <v>-0.15533184291730501</v>
      </c>
      <c r="EK183" s="5">
        <v>0.26736525132878503</v>
      </c>
      <c r="EL183" s="5">
        <v>-5.1360534096024903E-2</v>
      </c>
      <c r="EM183" s="5">
        <v>0.19365992451075001</v>
      </c>
      <c r="EN183" s="5">
        <v>-0.37418656285917801</v>
      </c>
      <c r="EO183" s="5">
        <v>0.47623377876872403</v>
      </c>
      <c r="EP183" s="5">
        <v>7.9556560733218804E-2</v>
      </c>
      <c r="EQ183" s="5">
        <v>7.0846279494337694E-2</v>
      </c>
      <c r="ER183" s="5">
        <v>9.1538746526067596E-2</v>
      </c>
      <c r="ES183" s="5">
        <v>-1.2057016590198E-2</v>
      </c>
      <c r="ET183" s="5">
        <v>0.25477044887114197</v>
      </c>
      <c r="EU183" s="5">
        <v>-0.14265240109553401</v>
      </c>
      <c r="EV183" s="5">
        <v>6.0551360000949302E-2</v>
      </c>
      <c r="EW183" s="5">
        <v>0.11579661181235799</v>
      </c>
      <c r="EX183" s="5">
        <v>0.26859798464097101</v>
      </c>
      <c r="EY183" s="5">
        <v>-0.16621713516432399</v>
      </c>
      <c r="EZ183" s="5">
        <v>6.6514309103334002E-2</v>
      </c>
      <c r="FA183" s="5">
        <v>8.8750027724103397E-2</v>
      </c>
      <c r="FB183" s="5">
        <v>-4.1914591102495402E-2</v>
      </c>
      <c r="FC183" s="5">
        <v>2.5099926157547602E-2</v>
      </c>
      <c r="FD183" s="5">
        <v>4.6243540986768701E-2</v>
      </c>
      <c r="FE183" s="5">
        <v>7.8308325783308E-2</v>
      </c>
      <c r="FF183" s="5">
        <v>-5.7655112660685702E-2</v>
      </c>
      <c r="FG183" s="5">
        <v>3.85313620689672E-2</v>
      </c>
      <c r="FH183" s="5">
        <v>2.34978613231311E-2</v>
      </c>
      <c r="FI183" s="5">
        <v>0.102296282441648</v>
      </c>
      <c r="FJ183" s="5">
        <v>8.1257292875540593E-2</v>
      </c>
      <c r="FK183" s="5">
        <v>-1.08868455281773E-2</v>
      </c>
      <c r="FL183" s="5">
        <v>-0.16723809707889001</v>
      </c>
      <c r="FM183" s="5">
        <v>0.18180155599168701</v>
      </c>
      <c r="FN183" s="5">
        <v>-0.26047705750287198</v>
      </c>
      <c r="FO183" s="5">
        <v>0.36843507099474299</v>
      </c>
      <c r="FP183" s="5">
        <v>-0.43063844559245101</v>
      </c>
      <c r="FQ183" s="5">
        <v>0.640139937391215</v>
      </c>
      <c r="FR183" s="5">
        <v>2.3509815656463099E-2</v>
      </c>
      <c r="FS183" s="5">
        <v>1.67788109704891E-2</v>
      </c>
      <c r="FT183" s="5">
        <v>-0.54981828138594102</v>
      </c>
      <c r="FU183" s="5">
        <v>0.81852751765765797</v>
      </c>
      <c r="FV183" s="5">
        <v>-0.134059319440372</v>
      </c>
      <c r="FW183" s="5">
        <v>0.201653024377486</v>
      </c>
      <c r="FX183" s="5">
        <v>4.1010409778074401E-2</v>
      </c>
      <c r="FY183" s="5">
        <v>6.1259784147187801E-2</v>
      </c>
      <c r="FZ183" s="5">
        <v>-0.69403137242781898</v>
      </c>
      <c r="GA183" s="5">
        <v>1</v>
      </c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</row>
    <row r="184" spans="1:389" x14ac:dyDescent="0.45">
      <c r="A184" s="4" t="str">
        <f ca="1">"JPN / beta1dist in "&amp;CELL("address",'damages-1990'!$J$93)</f>
        <v>JPN / beta1dist in '[BHM betas v3pd.xlsx]damages-1990'!$J$93</v>
      </c>
      <c r="B184" s="6">
        <v>0.54019857185506204</v>
      </c>
      <c r="C184" s="5">
        <v>-0.194055731039664</v>
      </c>
      <c r="D184" s="5">
        <v>0.228835309588062</v>
      </c>
      <c r="E184" s="5">
        <v>-0.170897881295307</v>
      </c>
      <c r="F184" s="5">
        <v>0.72368599917181897</v>
      </c>
      <c r="G184" s="5">
        <v>-0.44207229242434998</v>
      </c>
      <c r="H184" s="5">
        <v>0.49396879354760398</v>
      </c>
      <c r="I184" s="5">
        <v>-0.29560887270500003</v>
      </c>
      <c r="J184" s="5">
        <v>4.4555577096025901E-2</v>
      </c>
      <c r="K184" s="5">
        <v>-1.94980664335117E-2</v>
      </c>
      <c r="L184" s="5">
        <v>0.41977142241341098</v>
      </c>
      <c r="M184" s="5">
        <v>-0.115601150976797</v>
      </c>
      <c r="N184" s="5">
        <v>0.55366071830061103</v>
      </c>
      <c r="O184" s="5">
        <v>-0.21849398408589901</v>
      </c>
      <c r="P184" s="5">
        <v>4.0645536037206997E-2</v>
      </c>
      <c r="Q184" s="5">
        <v>-3.2933031193745799E-2</v>
      </c>
      <c r="R184" s="5">
        <v>0.19672817457382999</v>
      </c>
      <c r="S184" s="5">
        <v>-0.119447718622383</v>
      </c>
      <c r="T184" s="5">
        <v>0.57204118100985302</v>
      </c>
      <c r="U184" s="5">
        <v>-0.364728134741855</v>
      </c>
      <c r="V184" s="5">
        <v>0.62030622556493398</v>
      </c>
      <c r="W184" s="5">
        <v>-0.31628028617434001</v>
      </c>
      <c r="X184" s="5">
        <v>0.243285364424394</v>
      </c>
      <c r="Y184" s="5">
        <v>-0.13029491738504001</v>
      </c>
      <c r="Z184" s="5">
        <v>0.72750821241411801</v>
      </c>
      <c r="AA184" s="5">
        <v>-0.49864599450849101</v>
      </c>
      <c r="AB184" s="5">
        <v>0.101124567768537</v>
      </c>
      <c r="AC184" s="5">
        <v>-6.1062617992976402E-2</v>
      </c>
      <c r="AD184" s="5">
        <v>0.117896305315875</v>
      </c>
      <c r="AE184" s="5">
        <v>-5.6310576357789799E-2</v>
      </c>
      <c r="AF184" s="5">
        <v>4.5122218606018699E-2</v>
      </c>
      <c r="AG184" s="5">
        <v>-2.4666135223351499E-2</v>
      </c>
      <c r="AH184" s="5">
        <v>0.75478937149085601</v>
      </c>
      <c r="AI184" s="5">
        <v>-0.47545072599822402</v>
      </c>
      <c r="AJ184" s="5">
        <v>1.54568159042721E-2</v>
      </c>
      <c r="AK184" s="5">
        <v>-9.7199659032077591E-3</v>
      </c>
      <c r="AL184" s="5">
        <v>-2.02948057931342E-2</v>
      </c>
      <c r="AM184" s="5">
        <v>6.2764210078899998E-2</v>
      </c>
      <c r="AN184" s="5">
        <v>0.71209240022715303</v>
      </c>
      <c r="AO184" s="5">
        <v>-0.43740667135574501</v>
      </c>
      <c r="AP184" s="5">
        <v>0.58533890596726501</v>
      </c>
      <c r="AQ184" s="5">
        <v>-0.37567447173445201</v>
      </c>
      <c r="AR184" s="5">
        <v>4.8588845765677499E-2</v>
      </c>
      <c r="AS184" s="5">
        <v>-1.52737193839748E-2</v>
      </c>
      <c r="AT184" s="5">
        <v>-5.2717483689879198E-2</v>
      </c>
      <c r="AU184" s="5">
        <v>0.114088292908004</v>
      </c>
      <c r="AV184" s="5">
        <v>0.11851884007892401</v>
      </c>
      <c r="AW184" s="5">
        <v>-5.42243856631731E-2</v>
      </c>
      <c r="AX184" s="5">
        <v>7.0904892275928694E-2</v>
      </c>
      <c r="AY184" s="5">
        <v>-7.9317182820520596E-2</v>
      </c>
      <c r="AZ184" s="5">
        <v>4.4806951560227598E-2</v>
      </c>
      <c r="BA184" s="5">
        <v>-2.07753416803515E-2</v>
      </c>
      <c r="BB184" s="5">
        <v>0.11976186781840099</v>
      </c>
      <c r="BC184" s="5">
        <v>-0.103010453260292</v>
      </c>
      <c r="BD184" s="5">
        <v>0.70897324937040895</v>
      </c>
      <c r="BE184" s="5">
        <v>-0.344837382973391</v>
      </c>
      <c r="BF184" s="5">
        <v>0.11570398960711099</v>
      </c>
      <c r="BG184" s="5">
        <v>-8.2582837621923103E-2</v>
      </c>
      <c r="BH184" s="5">
        <v>0.12662345081883</v>
      </c>
      <c r="BI184" s="5">
        <v>-7.0034595248097894E-2</v>
      </c>
      <c r="BJ184" s="5">
        <v>0.313545694572331</v>
      </c>
      <c r="BK184" s="5">
        <v>-3.2621637357582202E-2</v>
      </c>
      <c r="BL184" s="5">
        <v>0.55746651606151199</v>
      </c>
      <c r="BM184" s="5">
        <v>-0.36043500112308402</v>
      </c>
      <c r="BN184" s="5">
        <v>0.51597061052613602</v>
      </c>
      <c r="BO184" s="5">
        <v>-0.114394019133035</v>
      </c>
      <c r="BP184" s="5">
        <v>0.66261505788429598</v>
      </c>
      <c r="BQ184" s="5">
        <v>-0.353730073340007</v>
      </c>
      <c r="BR184" s="5">
        <v>0.14013170876164399</v>
      </c>
      <c r="BS184" s="5">
        <v>-6.8747345558222997E-2</v>
      </c>
      <c r="BT184" s="5">
        <v>0.107181438099612</v>
      </c>
      <c r="BU184" s="5">
        <v>-4.5856809311571899E-2</v>
      </c>
      <c r="BV184" s="5">
        <v>0.165489717034807</v>
      </c>
      <c r="BW184" s="5">
        <v>-0.12455404748169401</v>
      </c>
      <c r="BX184" s="5">
        <v>0.14315556627158599</v>
      </c>
      <c r="BY184" s="5">
        <v>-0.10781367410451</v>
      </c>
      <c r="BZ184" s="5">
        <v>0.11964072725239901</v>
      </c>
      <c r="CA184" s="5">
        <v>-0.11611908412906</v>
      </c>
      <c r="CB184" s="5">
        <v>0.10450842161952199</v>
      </c>
      <c r="CC184" s="5">
        <v>-7.1435111933237094E-2</v>
      </c>
      <c r="CD184" s="5">
        <v>0.16114538904926101</v>
      </c>
      <c r="CE184" s="5">
        <v>-9.1593402517560901E-2</v>
      </c>
      <c r="CF184" s="5">
        <v>7.6018135516671498E-2</v>
      </c>
      <c r="CG184" s="5">
        <v>-5.0859819918056298E-2</v>
      </c>
      <c r="CH184" s="5">
        <v>-2.31917193923026E-2</v>
      </c>
      <c r="CI184" s="5">
        <v>5.6757083936895998E-2</v>
      </c>
      <c r="CJ184" s="5">
        <v>0.13042921804528201</v>
      </c>
      <c r="CK184" s="5">
        <v>-1.51157876799004E-2</v>
      </c>
      <c r="CL184" s="5">
        <v>0.63499632280690099</v>
      </c>
      <c r="CM184" s="5">
        <v>-0.41201410722662801</v>
      </c>
      <c r="CN184" s="5">
        <v>0.70029456601706896</v>
      </c>
      <c r="CO184" s="5">
        <v>-0.47886873769212501</v>
      </c>
      <c r="CP184" s="5">
        <v>0.10264707899683</v>
      </c>
      <c r="CQ184" s="5">
        <v>-5.6018034312286399E-2</v>
      </c>
      <c r="CR184" s="5">
        <v>8.2746369234250605E-2</v>
      </c>
      <c r="CS184" s="5">
        <v>-3.2490433523291597E-2</v>
      </c>
      <c r="CT184" s="5">
        <v>0.58178494639495304</v>
      </c>
      <c r="CU184" s="5">
        <v>-0.39042357333546901</v>
      </c>
      <c r="CV184" s="5">
        <v>0.12546884918686699</v>
      </c>
      <c r="CW184" s="5">
        <v>-9.0466523491012599E-2</v>
      </c>
      <c r="CX184" s="5">
        <v>9.57241277946555E-2</v>
      </c>
      <c r="CY184" s="5">
        <v>-3.3010280430908E-2</v>
      </c>
      <c r="CZ184" s="5">
        <v>0.17051029758584499</v>
      </c>
      <c r="DA184" s="5">
        <v>-0.130948135663562</v>
      </c>
      <c r="DB184" s="5">
        <v>7.3336530242234896E-2</v>
      </c>
      <c r="DC184" s="5">
        <v>-2.20251510399187E-2</v>
      </c>
      <c r="DD184" s="5">
        <v>0.125433371690166</v>
      </c>
      <c r="DE184" s="5">
        <v>-6.7001320663531899E-2</v>
      </c>
      <c r="DF184" s="5">
        <v>9.6652002461361505E-2</v>
      </c>
      <c r="DG184" s="5">
        <v>-2.4793115140273801E-2</v>
      </c>
      <c r="DH184" s="5">
        <v>0.58759230756169201</v>
      </c>
      <c r="DI184" s="5">
        <v>-0.30990392972023301</v>
      </c>
      <c r="DJ184" s="5">
        <v>0.49113403197352301</v>
      </c>
      <c r="DK184" s="5">
        <v>-0.30326124755262002</v>
      </c>
      <c r="DL184" s="5">
        <v>0.19572345434359401</v>
      </c>
      <c r="DM184" s="5">
        <v>-8.6620857578518298E-2</v>
      </c>
      <c r="DN184" s="5">
        <v>0.429630960585</v>
      </c>
      <c r="DO184" s="5">
        <v>-0.24622718258114401</v>
      </c>
      <c r="DP184" s="5">
        <v>0.12692847586171299</v>
      </c>
      <c r="DQ184" s="5">
        <v>-1.08405556841154E-2</v>
      </c>
      <c r="DR184" s="5">
        <v>0.75290357649062301</v>
      </c>
      <c r="DS184" s="5">
        <v>-0.49722968559103897</v>
      </c>
      <c r="DT184" s="5">
        <v>3.9826932037724798E-2</v>
      </c>
      <c r="DU184" s="5">
        <v>5.1489895821523104E-3</v>
      </c>
      <c r="DV184" s="5">
        <v>0.16036368362178999</v>
      </c>
      <c r="DW184" s="5">
        <v>-0.13286695852239999</v>
      </c>
      <c r="DX184" s="5">
        <v>0.61420335896001099</v>
      </c>
      <c r="DY184" s="5">
        <v>-0.37736789156408201</v>
      </c>
      <c r="DZ184" s="5">
        <v>0.61413023080602502</v>
      </c>
      <c r="EA184" s="5">
        <v>-0.28320165698521499</v>
      </c>
      <c r="EB184" s="5">
        <v>0.10942120341903699</v>
      </c>
      <c r="EC184" s="5">
        <v>-6.0656376921498001E-2</v>
      </c>
      <c r="ED184" s="5">
        <v>0.151222366224539</v>
      </c>
      <c r="EE184" s="5">
        <v>-7.1797954958772905E-2</v>
      </c>
      <c r="EF184" s="5">
        <v>6.7516723572157905E-2</v>
      </c>
      <c r="EG184" s="5">
        <v>-3.4826929614283901E-2</v>
      </c>
      <c r="EH184" s="5">
        <v>0.14302098636784899</v>
      </c>
      <c r="EI184" s="5">
        <v>-8.2962095738309399E-2</v>
      </c>
      <c r="EJ184" s="5">
        <v>0.15553159055341301</v>
      </c>
      <c r="EK184" s="5">
        <v>-8.8808503257849294E-2</v>
      </c>
      <c r="EL184" s="5">
        <v>0.100418866760004</v>
      </c>
      <c r="EM184" s="5">
        <v>-3.56289399235915E-2</v>
      </c>
      <c r="EN184" s="5">
        <v>0.44351325534935998</v>
      </c>
      <c r="EO184" s="5">
        <v>-0.19176966101196399</v>
      </c>
      <c r="EP184" s="5">
        <v>7.4207047087575403E-2</v>
      </c>
      <c r="EQ184" s="5">
        <v>-4.7768244688545E-2</v>
      </c>
      <c r="ER184" s="5">
        <v>0.128067130370944</v>
      </c>
      <c r="ES184" s="5">
        <v>-7.5478505868863802E-2</v>
      </c>
      <c r="ET184" s="5">
        <v>6.2056499018076403E-2</v>
      </c>
      <c r="EU184" s="5">
        <v>-6.6799399373117199E-2</v>
      </c>
      <c r="EV184" s="5">
        <v>4.26687193377491E-2</v>
      </c>
      <c r="EW184" s="5">
        <v>-7.4950138635542493E-2</v>
      </c>
      <c r="EX184" s="5">
        <v>9.0577176882918706E-2</v>
      </c>
      <c r="EY184" s="5">
        <v>-7.4770821190139503E-2</v>
      </c>
      <c r="EZ184" s="5">
        <v>0.106135974047688</v>
      </c>
      <c r="FA184" s="5">
        <v>-5.9913647570104797E-2</v>
      </c>
      <c r="FB184" s="5">
        <v>0.74219867336648004</v>
      </c>
      <c r="FC184" s="5">
        <v>-0.47560390191717999</v>
      </c>
      <c r="FD184" s="5">
        <v>0.118996305969856</v>
      </c>
      <c r="FE184" s="5">
        <v>-7.9708638756201003E-2</v>
      </c>
      <c r="FF184" s="5">
        <v>0.736614466109905</v>
      </c>
      <c r="FG184" s="5">
        <v>-0.47102776627104498</v>
      </c>
      <c r="FH184" s="5">
        <v>2.30977642384383E-2</v>
      </c>
      <c r="FI184" s="5">
        <v>5.3057419885976398E-2</v>
      </c>
      <c r="FJ184" s="5">
        <v>0.203230910971231</v>
      </c>
      <c r="FK184" s="5">
        <v>-0.138030485026507</v>
      </c>
      <c r="FL184" s="5">
        <v>0.53845360052679203</v>
      </c>
      <c r="FM184" s="5">
        <v>-0.227305819820208</v>
      </c>
      <c r="FN184" s="5">
        <v>0.31982459208533898</v>
      </c>
      <c r="FO184" s="5">
        <v>-0.107519482789386</v>
      </c>
      <c r="FP184" s="5">
        <v>7.3325611423745496E-2</v>
      </c>
      <c r="FQ184" s="5">
        <v>1.41597518103826E-2</v>
      </c>
      <c r="FR184" s="5">
        <v>9.9002600072698996E-2</v>
      </c>
      <c r="FS184" s="5">
        <v>0.16033940400616201</v>
      </c>
      <c r="FT184" s="5">
        <v>0.17385373727227299</v>
      </c>
      <c r="FU184" s="5">
        <v>-6.8282593617080001E-2</v>
      </c>
      <c r="FV184" s="5">
        <v>0.72294234459125195</v>
      </c>
      <c r="FW184" s="5">
        <v>-0.49325701597142502</v>
      </c>
      <c r="FX184" s="5">
        <v>4.61456513281822E-2</v>
      </c>
      <c r="FY184" s="5">
        <v>-1.61877910610676E-3</v>
      </c>
      <c r="FZ184" s="5">
        <v>0.22113180884787401</v>
      </c>
      <c r="GA184" s="5">
        <v>-9.7256874303998597E-2</v>
      </c>
      <c r="GB184" s="5">
        <v>1</v>
      </c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</row>
    <row r="185" spans="1:389" x14ac:dyDescent="0.45">
      <c r="A185" s="4" t="str">
        <f ca="1">"JPN / beta2dist in "&amp;CELL("address",'damages-1990'!$K$93)</f>
        <v>JPN / beta2dist in '[BHM betas v3pd.xlsx]damages-1990'!$K$93</v>
      </c>
      <c r="B185" s="6">
        <v>-0.14906594311892801</v>
      </c>
      <c r="C185" s="5">
        <v>0.215622368575308</v>
      </c>
      <c r="D185" s="5">
        <v>2.7586009824300799E-2</v>
      </c>
      <c r="E185" s="5">
        <v>0.23498135406439</v>
      </c>
      <c r="F185" s="5">
        <v>-0.431225596531988</v>
      </c>
      <c r="G185" s="5">
        <v>0.511392051208859</v>
      </c>
      <c r="H185" s="5">
        <v>-0.4933425924448</v>
      </c>
      <c r="I185" s="5">
        <v>0.40795631758520201</v>
      </c>
      <c r="J185" s="5">
        <v>0.22110922432519101</v>
      </c>
      <c r="K185" s="5">
        <v>4.6275985899583302E-2</v>
      </c>
      <c r="L185" s="5">
        <v>-2.9738475206603301E-2</v>
      </c>
      <c r="M185" s="5">
        <v>9.2407892721760101E-2</v>
      </c>
      <c r="N185" s="5">
        <v>-0.40514678206486299</v>
      </c>
      <c r="O185" s="5">
        <v>0.24891880856110701</v>
      </c>
      <c r="P185" s="5">
        <v>8.6098181936151305E-2</v>
      </c>
      <c r="Q185" s="5">
        <v>7.8111235345116201E-2</v>
      </c>
      <c r="R185" s="5">
        <v>0.11342492489131301</v>
      </c>
      <c r="S185" s="5">
        <v>0.13089968958659801</v>
      </c>
      <c r="T185" s="5">
        <v>-0.55415977793343396</v>
      </c>
      <c r="U185" s="5">
        <v>0.49751938158068498</v>
      </c>
      <c r="V185" s="5">
        <v>-0.240714171579646</v>
      </c>
      <c r="W185" s="5">
        <v>0.34068096429250599</v>
      </c>
      <c r="X185" s="5">
        <v>2.4484907192900002E-2</v>
      </c>
      <c r="Y185" s="5">
        <v>0.186717370074163</v>
      </c>
      <c r="Z185" s="5">
        <v>-0.59106390315677304</v>
      </c>
      <c r="AA185" s="5">
        <v>0.62881596111497795</v>
      </c>
      <c r="AB185" s="5">
        <v>5.8407317938020398E-2</v>
      </c>
      <c r="AC185" s="5">
        <v>0.10301690925165401</v>
      </c>
      <c r="AD185" s="5">
        <v>4.4358168999278198E-2</v>
      </c>
      <c r="AE185" s="5">
        <v>0.113178384179278</v>
      </c>
      <c r="AF185" s="5">
        <v>0.219198587336351</v>
      </c>
      <c r="AG185" s="5">
        <v>-2.39057331100552E-3</v>
      </c>
      <c r="AH185" s="5">
        <v>-0.52862553073400298</v>
      </c>
      <c r="AI185" s="5">
        <v>0.58700284667648095</v>
      </c>
      <c r="AJ185" s="5">
        <v>0.23366606114952199</v>
      </c>
      <c r="AK185" s="5">
        <v>4.3992517136294498E-2</v>
      </c>
      <c r="AL185" s="5">
        <v>0.24983128719225101</v>
      </c>
      <c r="AM185" s="5">
        <v>-0.13857859101057701</v>
      </c>
      <c r="AN185" s="5">
        <v>-0.55651576319221496</v>
      </c>
      <c r="AO185" s="5">
        <v>0.555064355142592</v>
      </c>
      <c r="AP185" s="5">
        <v>-0.60204074709512101</v>
      </c>
      <c r="AQ185" s="5">
        <v>0.5453001828795</v>
      </c>
      <c r="AR185" s="5">
        <v>0.18912527605036</v>
      </c>
      <c r="AS185" s="5">
        <v>2.6634227694804398E-3</v>
      </c>
      <c r="AT185" s="5">
        <v>0.30144511195143597</v>
      </c>
      <c r="AU185" s="5">
        <v>-0.221427457492616</v>
      </c>
      <c r="AV185" s="5">
        <v>0.21762560199596401</v>
      </c>
      <c r="AW185" s="5">
        <v>1.9296834925772399E-2</v>
      </c>
      <c r="AX185" s="5">
        <v>0.21168838908743501</v>
      </c>
      <c r="AY185" s="5">
        <v>8.0772010308557504E-2</v>
      </c>
      <c r="AZ185" s="5">
        <v>8.7642900617306896E-2</v>
      </c>
      <c r="BA185" s="5">
        <v>4.7034229512375202E-2</v>
      </c>
      <c r="BB185" s="5">
        <v>0.101882383532715</v>
      </c>
      <c r="BC185" s="5">
        <v>0.17939664149415499</v>
      </c>
      <c r="BD185" s="5">
        <v>-0.41494825414285202</v>
      </c>
      <c r="BE185" s="5">
        <v>0.46011729818834401</v>
      </c>
      <c r="BF185" s="5">
        <v>0.111260728773886</v>
      </c>
      <c r="BG185" s="5">
        <v>0.11643316703739</v>
      </c>
      <c r="BH185" s="5">
        <v>0.12534393543613301</v>
      </c>
      <c r="BI185" s="5">
        <v>9.6569499946171894E-2</v>
      </c>
      <c r="BJ185" s="5">
        <v>-0.36409251760276701</v>
      </c>
      <c r="BK185" s="5">
        <v>6.3610112603046595E-2</v>
      </c>
      <c r="BL185" s="5">
        <v>-0.55462395927715902</v>
      </c>
      <c r="BM185" s="5">
        <v>0.490510692402091</v>
      </c>
      <c r="BN185" s="5">
        <v>-0.27397655618899902</v>
      </c>
      <c r="BO185" s="5">
        <v>9.79397483483853E-2</v>
      </c>
      <c r="BP185" s="5">
        <v>-0.52033659943562605</v>
      </c>
      <c r="BQ185" s="5">
        <v>0.44818360518647499</v>
      </c>
      <c r="BR185" s="5">
        <v>3.3584724176738798E-3</v>
      </c>
      <c r="BS185" s="5">
        <v>0.14226365509963201</v>
      </c>
      <c r="BT185" s="5">
        <v>0.18016103276193801</v>
      </c>
      <c r="BU185" s="5">
        <v>5.3563879048136698E-2</v>
      </c>
      <c r="BV185" s="5">
        <v>6.6454549680093303E-2</v>
      </c>
      <c r="BW185" s="5">
        <v>0.185425178656866</v>
      </c>
      <c r="BX185" s="5">
        <v>5.2757059972167002E-2</v>
      </c>
      <c r="BY185" s="5">
        <v>0.16408433017296101</v>
      </c>
      <c r="BZ185" s="5">
        <v>8.4824844764066307E-2</v>
      </c>
      <c r="CA185" s="5">
        <v>0.16789453800233001</v>
      </c>
      <c r="CB185" s="5">
        <v>5.5761387008839598E-2</v>
      </c>
      <c r="CC185" s="5">
        <v>0.100686347120512</v>
      </c>
      <c r="CD185" s="5">
        <v>-4.9873238199215804E-3</v>
      </c>
      <c r="CE185" s="5">
        <v>0.106699356340712</v>
      </c>
      <c r="CF185" s="5">
        <v>0.101473729659106</v>
      </c>
      <c r="CG185" s="5">
        <v>4.6834822465515701E-2</v>
      </c>
      <c r="CH185" s="5">
        <v>0.24075659212810199</v>
      </c>
      <c r="CI185" s="5">
        <v>-0.13444606274797199</v>
      </c>
      <c r="CJ185" s="5">
        <v>0.17970698809930999</v>
      </c>
      <c r="CK185" s="5">
        <v>-2.2894779527959899E-2</v>
      </c>
      <c r="CL185" s="5">
        <v>-0.56680216008390705</v>
      </c>
      <c r="CM185" s="5">
        <v>0.54287883708795603</v>
      </c>
      <c r="CN185" s="5">
        <v>-0.60002893791525003</v>
      </c>
      <c r="CO185" s="5">
        <v>0.61530115006215802</v>
      </c>
      <c r="CP185" s="5">
        <v>-6.3313833344760704E-3</v>
      </c>
      <c r="CQ185" s="5">
        <v>0.122762003885273</v>
      </c>
      <c r="CR185" s="5">
        <v>7.4934007046649001E-2</v>
      </c>
      <c r="CS185" s="5">
        <v>7.0486516884787007E-2</v>
      </c>
      <c r="CT185" s="5">
        <v>-0.54468426156779703</v>
      </c>
      <c r="CU185" s="5">
        <v>0.51515824409040101</v>
      </c>
      <c r="CV185" s="5">
        <v>-1.7458603994731099E-2</v>
      </c>
      <c r="CW185" s="5">
        <v>0.17837184331571099</v>
      </c>
      <c r="CX185" s="5">
        <v>0.203851737474601</v>
      </c>
      <c r="CY185" s="5">
        <v>3.4023631239355701E-2</v>
      </c>
      <c r="CZ185" s="5">
        <v>3.2390940894742697E-2</v>
      </c>
      <c r="DA185" s="5">
        <v>0.182844826373986</v>
      </c>
      <c r="DB185" s="5">
        <v>0.28435566539700302</v>
      </c>
      <c r="DC185" s="5">
        <v>-8.4186860440014794E-3</v>
      </c>
      <c r="DD185" s="5">
        <v>1.16426210766202E-2</v>
      </c>
      <c r="DE185" s="5">
        <v>0.153098086149736</v>
      </c>
      <c r="DF185" s="5">
        <v>0.18611972068099999</v>
      </c>
      <c r="DG185" s="5">
        <v>-7.2713525394800301E-3</v>
      </c>
      <c r="DH185" s="5">
        <v>-0.21880618752035899</v>
      </c>
      <c r="DI185" s="5">
        <v>0.32222951893424101</v>
      </c>
      <c r="DJ185" s="5">
        <v>-0.51427416696700001</v>
      </c>
      <c r="DK185" s="5">
        <v>0.44681614958084198</v>
      </c>
      <c r="DL185" s="5">
        <v>2.5467500760549499E-2</v>
      </c>
      <c r="DM185" s="5">
        <v>0.15868772804485901</v>
      </c>
      <c r="DN185" s="5">
        <v>-0.490811036724012</v>
      </c>
      <c r="DO185" s="5">
        <v>0.38416395467815101</v>
      </c>
      <c r="DP185" s="5">
        <v>9.4370825565002897E-2</v>
      </c>
      <c r="DQ185" s="5">
        <v>1.9732683939204701E-2</v>
      </c>
      <c r="DR185" s="5">
        <v>-0.50929957535916404</v>
      </c>
      <c r="DS185" s="5">
        <v>0.58366763942342603</v>
      </c>
      <c r="DT185" s="5">
        <v>6.5893313477272494E-2</v>
      </c>
      <c r="DU185" s="5">
        <v>1.07480406145749E-2</v>
      </c>
      <c r="DV185" s="5">
        <v>-3.9547344485322801E-2</v>
      </c>
      <c r="DW185" s="5">
        <v>0.227416255721997</v>
      </c>
      <c r="DX185" s="5">
        <v>-0.53895997965714604</v>
      </c>
      <c r="DY185" s="5">
        <v>0.49358524461341002</v>
      </c>
      <c r="DZ185" s="5">
        <v>-0.45882198619714198</v>
      </c>
      <c r="EA185" s="5">
        <v>0.34143123764014799</v>
      </c>
      <c r="EB185" s="5">
        <v>6.1974499877931202E-2</v>
      </c>
      <c r="EC185" s="5">
        <v>0.116023916812775</v>
      </c>
      <c r="ED185" s="5">
        <v>5.8387612472186198E-2</v>
      </c>
      <c r="EE185" s="5">
        <v>0.11786623789179999</v>
      </c>
      <c r="EF185" s="5">
        <v>6.4008238478200294E-2</v>
      </c>
      <c r="EG185" s="5">
        <v>8.1505722715565096E-2</v>
      </c>
      <c r="EH185" s="5">
        <v>8.9154959701017902E-2</v>
      </c>
      <c r="EI185" s="5">
        <v>0.117549544216001</v>
      </c>
      <c r="EJ185" s="5">
        <v>6.9959465127103396E-2</v>
      </c>
      <c r="EK185" s="5">
        <v>0.13304972773683599</v>
      </c>
      <c r="EL185" s="5">
        <v>0.177835041275303</v>
      </c>
      <c r="EM185" s="5">
        <v>4.75135053777652E-3</v>
      </c>
      <c r="EN185" s="5">
        <v>-9.5859585998964006E-2</v>
      </c>
      <c r="EO185" s="5">
        <v>0.17721308842363401</v>
      </c>
      <c r="EP185" s="5">
        <v>4.1969296526634801E-2</v>
      </c>
      <c r="EQ185" s="5">
        <v>9.6479455344661E-2</v>
      </c>
      <c r="ER185" s="5">
        <v>0.130091760208185</v>
      </c>
      <c r="ES185" s="5">
        <v>8.9399107765257696E-2</v>
      </c>
      <c r="ET185" s="5">
        <v>0.19395487761066299</v>
      </c>
      <c r="EU185" s="5">
        <v>3.7087333986799698E-2</v>
      </c>
      <c r="EV185" s="5">
        <v>0.20646261732406199</v>
      </c>
      <c r="EW185" s="5">
        <v>6.1768129956540602E-2</v>
      </c>
      <c r="EX185" s="5">
        <v>0.177927100206793</v>
      </c>
      <c r="EY185" s="5">
        <v>4.04567411128198E-2</v>
      </c>
      <c r="EZ185" s="5">
        <v>0.12593996596638499</v>
      </c>
      <c r="FA185" s="5">
        <v>9.6428332604112502E-2</v>
      </c>
      <c r="FB185" s="5">
        <v>-0.48855823784983599</v>
      </c>
      <c r="FC185" s="5">
        <v>0.55728765597963004</v>
      </c>
      <c r="FD185" s="5">
        <v>3.2676976060012901E-2</v>
      </c>
      <c r="FE185" s="5">
        <v>0.13247386331756</v>
      </c>
      <c r="FF185" s="5">
        <v>-0.53400454775542405</v>
      </c>
      <c r="FG185" s="5">
        <v>0.57785504911825003</v>
      </c>
      <c r="FH185" s="5">
        <v>0.29804692853132297</v>
      </c>
      <c r="FI185" s="5">
        <v>-0.170367726119103</v>
      </c>
      <c r="FJ185" s="5">
        <v>6.66172676387633E-2</v>
      </c>
      <c r="FK185" s="5">
        <v>0.187532926649955</v>
      </c>
      <c r="FL185" s="5">
        <v>-0.418394037112646</v>
      </c>
      <c r="FM185" s="5">
        <v>0.30211991287876799</v>
      </c>
      <c r="FN185" s="5">
        <v>2.89734206782012E-2</v>
      </c>
      <c r="FO185" s="5">
        <v>0.13521930971190399</v>
      </c>
      <c r="FP185" s="5">
        <v>0.256051829162455</v>
      </c>
      <c r="FQ185" s="5">
        <v>-3.9245614484857597E-2</v>
      </c>
      <c r="FR185" s="5">
        <v>3.7539287285945599E-4</v>
      </c>
      <c r="FS185" s="5">
        <v>-0.226592869818384</v>
      </c>
      <c r="FT185" s="5">
        <v>0.19403845195133201</v>
      </c>
      <c r="FU185" s="5">
        <v>4.7561952149333002E-2</v>
      </c>
      <c r="FV185" s="5">
        <v>-0.37248685396565101</v>
      </c>
      <c r="FW185" s="5">
        <v>0.49952055795929401</v>
      </c>
      <c r="FX185" s="5">
        <v>0.17556984144492299</v>
      </c>
      <c r="FY185" s="5">
        <v>-2.1926678768524901E-2</v>
      </c>
      <c r="FZ185" s="5">
        <v>0.16180142285840499</v>
      </c>
      <c r="GA185" s="5">
        <v>8.5099953705181905E-2</v>
      </c>
      <c r="GB185" s="5">
        <v>-0.80127107097176997</v>
      </c>
      <c r="GC185" s="5">
        <v>1</v>
      </c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</row>
    <row r="186" spans="1:389" x14ac:dyDescent="0.45">
      <c r="A186" s="4" t="str">
        <f ca="1">"KAZ / beta1dist in "&amp;CELL("address",'damages-1990'!$J$94)</f>
        <v>KAZ / beta1dist in '[BHM betas v3pd.xlsx]damages-1990'!$J$94</v>
      </c>
      <c r="B186" s="6">
        <v>0.20605917339674401</v>
      </c>
      <c r="C186" s="5">
        <v>-0.112147159877518</v>
      </c>
      <c r="D186" s="5">
        <v>2.18689474634419E-3</v>
      </c>
      <c r="E186" s="5">
        <v>-0.15182490695908701</v>
      </c>
      <c r="F186" s="5">
        <v>0.38161703974368599</v>
      </c>
      <c r="G186" s="5">
        <v>-0.31402616881217499</v>
      </c>
      <c r="H186" s="5">
        <v>0.59158289075839599</v>
      </c>
      <c r="I186" s="5">
        <v>-0.45608277629266197</v>
      </c>
      <c r="J186" s="5">
        <v>-0.372788200914764</v>
      </c>
      <c r="K186" s="5">
        <v>0.23286317290244299</v>
      </c>
      <c r="L186" s="5">
        <v>5.6395314583209802E-2</v>
      </c>
      <c r="M186" s="5">
        <v>2.16755028727252E-2</v>
      </c>
      <c r="N186" s="5">
        <v>0.48589618751592101</v>
      </c>
      <c r="O186" s="5">
        <v>-0.26070438500337301</v>
      </c>
      <c r="P186" s="5">
        <v>-5.2890318093831198E-2</v>
      </c>
      <c r="Q186" s="5">
        <v>-3.33394130015741E-2</v>
      </c>
      <c r="R186" s="5">
        <v>-0.15894484543746601</v>
      </c>
      <c r="S186" s="5">
        <v>2.8083811378529399E-2</v>
      </c>
      <c r="T186" s="5">
        <v>0.52302801441168301</v>
      </c>
      <c r="U186" s="5">
        <v>-0.383859378126722</v>
      </c>
      <c r="V186" s="5">
        <v>0.338580547759189</v>
      </c>
      <c r="W186" s="5">
        <v>-0.33784906313889701</v>
      </c>
      <c r="X186" s="5">
        <v>3.4810964276372397E-2</v>
      </c>
      <c r="Y186" s="5">
        <v>-0.130463207122851</v>
      </c>
      <c r="Z186" s="5">
        <v>0.55969087903710202</v>
      </c>
      <c r="AA186" s="5">
        <v>-0.46380634696642398</v>
      </c>
      <c r="AB186" s="5">
        <v>-0.13361461454031701</v>
      </c>
      <c r="AC186" s="5">
        <v>6.4849646269184602E-2</v>
      </c>
      <c r="AD186" s="5">
        <v>-0.152498773622707</v>
      </c>
      <c r="AE186" s="5">
        <v>7.1727219894007502E-2</v>
      </c>
      <c r="AF186" s="5">
        <v>-0.18395334786675399</v>
      </c>
      <c r="AG186" s="5">
        <v>7.5804127003667093E-2</v>
      </c>
      <c r="AH186" s="5">
        <v>0.46555623996680001</v>
      </c>
      <c r="AI186" s="5">
        <v>-0.38731142651620099</v>
      </c>
      <c r="AJ186" s="5">
        <v>-0.393232587184353</v>
      </c>
      <c r="AK186" s="5">
        <v>0.22632649291381601</v>
      </c>
      <c r="AL186" s="5">
        <v>-0.20832226492129199</v>
      </c>
      <c r="AM186" s="5">
        <v>0.13926320166571801</v>
      </c>
      <c r="AN186" s="5">
        <v>0.50744116174637899</v>
      </c>
      <c r="AO186" s="5">
        <v>-0.393097973511153</v>
      </c>
      <c r="AP186" s="5">
        <v>0.655695239461214</v>
      </c>
      <c r="AQ186" s="5">
        <v>-0.54426171285034697</v>
      </c>
      <c r="AR186" s="5">
        <v>-0.20299641133291099</v>
      </c>
      <c r="AS186" s="5">
        <v>4.9536496234242201E-2</v>
      </c>
      <c r="AT186" s="5">
        <v>-0.27616825532085598</v>
      </c>
      <c r="AU186" s="5">
        <v>0.22172259538057601</v>
      </c>
      <c r="AV186" s="5">
        <v>-0.143236115444736</v>
      </c>
      <c r="AW186" s="5">
        <v>-3.5890512725856603E-2</v>
      </c>
      <c r="AX186" s="5">
        <v>-0.25680415271310503</v>
      </c>
      <c r="AY186" s="5">
        <v>5.3779506331647797E-2</v>
      </c>
      <c r="AZ186" s="5">
        <v>-0.12873263290044201</v>
      </c>
      <c r="BA186" s="5">
        <v>4.3378317851974997E-2</v>
      </c>
      <c r="BB186" s="5">
        <v>-0.26811456989218102</v>
      </c>
      <c r="BC186" s="5">
        <v>0.113707820028246</v>
      </c>
      <c r="BD186" s="5">
        <v>0.38580289167204601</v>
      </c>
      <c r="BE186" s="5">
        <v>-0.28775982695059399</v>
      </c>
      <c r="BF186" s="5">
        <v>-1.0309546652778801E-2</v>
      </c>
      <c r="BG186" s="5">
        <v>-0.13117681584379401</v>
      </c>
      <c r="BH186" s="5">
        <v>-0.27412873840671198</v>
      </c>
      <c r="BI186" s="5">
        <v>0.16162957402615899</v>
      </c>
      <c r="BJ186" s="5">
        <v>0.50732267324989599</v>
      </c>
      <c r="BK186" s="5">
        <v>-0.30092151935276601</v>
      </c>
      <c r="BL186" s="5">
        <v>0.49784519101348901</v>
      </c>
      <c r="BM186" s="5">
        <v>-0.36132670809592399</v>
      </c>
      <c r="BN186" s="5">
        <v>0.57035546407696702</v>
      </c>
      <c r="BO186" s="5">
        <v>-0.406326717688346</v>
      </c>
      <c r="BP186" s="5">
        <v>0.60479291938422197</v>
      </c>
      <c r="BQ186" s="5">
        <v>-0.46831839228153899</v>
      </c>
      <c r="BR186" s="5">
        <v>-0.102309899065979</v>
      </c>
      <c r="BS186" s="5">
        <v>5.4160027151846597E-2</v>
      </c>
      <c r="BT186" s="5">
        <v>-0.242795944993596</v>
      </c>
      <c r="BU186" s="5">
        <v>0.134641777230426</v>
      </c>
      <c r="BV186" s="5">
        <v>-0.150915874099464</v>
      </c>
      <c r="BW186" s="5">
        <v>1.0110783485190801E-2</v>
      </c>
      <c r="BX186" s="5">
        <v>-0.150273731356389</v>
      </c>
      <c r="BY186" s="5">
        <v>2.6984228995324301E-2</v>
      </c>
      <c r="BZ186" s="5">
        <v>-0.172518324028369</v>
      </c>
      <c r="CA186" s="5">
        <v>1.4757363094110999E-2</v>
      </c>
      <c r="CB186" s="5">
        <v>6.0892446031058202E-3</v>
      </c>
      <c r="CC186" s="5">
        <v>-9.8470585427357898E-2</v>
      </c>
      <c r="CD186" s="5">
        <v>-0.18709507111227799</v>
      </c>
      <c r="CE186" s="5">
        <v>0.10214950377172299</v>
      </c>
      <c r="CF186" s="5">
        <v>-0.182691178703459</v>
      </c>
      <c r="CG186" s="5">
        <v>6.7897268929465099E-2</v>
      </c>
      <c r="CH186" s="5">
        <v>-0.15653165306197001</v>
      </c>
      <c r="CI186" s="5">
        <v>7.4094508939274203E-2</v>
      </c>
      <c r="CJ186" s="5">
        <v>-5.4724441551412997E-2</v>
      </c>
      <c r="CK186" s="5">
        <v>-2.3221531756286102E-3</v>
      </c>
      <c r="CL186" s="5">
        <v>0.56723296824732305</v>
      </c>
      <c r="CM186" s="5">
        <v>-0.44155823458240701</v>
      </c>
      <c r="CN186" s="5">
        <v>0.60735946761997595</v>
      </c>
      <c r="CO186" s="5">
        <v>-0.50757249437353102</v>
      </c>
      <c r="CP186" s="5">
        <v>-0.226521490811599</v>
      </c>
      <c r="CQ186" s="5">
        <v>0.133561856445714</v>
      </c>
      <c r="CR186" s="5">
        <v>-3.6510112377875902E-2</v>
      </c>
      <c r="CS186" s="5">
        <v>-3.5920047869599299E-2</v>
      </c>
      <c r="CT186" s="5">
        <v>0.61902258759904905</v>
      </c>
      <c r="CU186" s="5">
        <v>-0.51082916058899597</v>
      </c>
      <c r="CV186" s="5">
        <v>-4.5692823871032497E-2</v>
      </c>
      <c r="CW186" s="5">
        <v>-6.4028117485190494E-2</v>
      </c>
      <c r="CX186" s="5">
        <v>-0.13472346667281501</v>
      </c>
      <c r="CY186" s="5">
        <v>-1.6588093551748399E-2</v>
      </c>
      <c r="CZ186" s="5">
        <v>-7.3806664577060796E-2</v>
      </c>
      <c r="DA186" s="5">
        <v>-6.67252868800874E-2</v>
      </c>
      <c r="DB186" s="5">
        <v>-4.5257060333112803E-2</v>
      </c>
      <c r="DC186" s="5">
        <v>-0.20927740458757199</v>
      </c>
      <c r="DD186" s="5">
        <v>-0.20976661491395099</v>
      </c>
      <c r="DE186" s="5">
        <v>0.10870829642</v>
      </c>
      <c r="DF186" s="5">
        <v>-0.353536603893642</v>
      </c>
      <c r="DG186" s="5">
        <v>0.28213474152414197</v>
      </c>
      <c r="DH186" s="5">
        <v>0.26770569976979203</v>
      </c>
      <c r="DI186" s="5">
        <v>-0.23428619925872399</v>
      </c>
      <c r="DJ186" s="5">
        <v>0.64074686208328302</v>
      </c>
      <c r="DK186" s="5">
        <v>-0.51533449805612097</v>
      </c>
      <c r="DL186" s="5">
        <v>-0.142540324800802</v>
      </c>
      <c r="DM186" s="5">
        <v>5.5934428068649102E-2</v>
      </c>
      <c r="DN186" s="5">
        <v>0.51417866281587399</v>
      </c>
      <c r="DO186" s="5">
        <v>-0.34227075127761603</v>
      </c>
      <c r="DP186" s="5">
        <v>-8.9520459008836206E-2</v>
      </c>
      <c r="DQ186" s="5">
        <v>5.1403276136675502E-2</v>
      </c>
      <c r="DR186" s="5">
        <v>0.50693156892060398</v>
      </c>
      <c r="DS186" s="5">
        <v>-0.44124389060119401</v>
      </c>
      <c r="DT186" s="5">
        <v>-6.8138791725093698E-2</v>
      </c>
      <c r="DU186" s="5">
        <v>2.0224304096019899E-2</v>
      </c>
      <c r="DV186" s="5">
        <v>-4.2393890793391301E-2</v>
      </c>
      <c r="DW186" s="5">
        <v>-5.3596663227568099E-2</v>
      </c>
      <c r="DX186" s="5">
        <v>0.57451701397589106</v>
      </c>
      <c r="DY186" s="5">
        <v>-0.43279129760582602</v>
      </c>
      <c r="DZ186" s="5">
        <v>0.52224266806014596</v>
      </c>
      <c r="EA186" s="5">
        <v>-0.32130655987516299</v>
      </c>
      <c r="EB186" s="5">
        <v>-0.20892258314354201</v>
      </c>
      <c r="EC186" s="5">
        <v>0.106663288245951</v>
      </c>
      <c r="ED186" s="5">
        <v>-0.15089731766062001</v>
      </c>
      <c r="EE186" s="5">
        <v>6.7030727938498194E-2</v>
      </c>
      <c r="EF186" s="5">
        <v>-3.9671698136064498E-2</v>
      </c>
      <c r="EG186" s="5">
        <v>-3.4793067544136198E-2</v>
      </c>
      <c r="EH186" s="5">
        <v>-0.19258004006718399</v>
      </c>
      <c r="EI186" s="5">
        <v>4.4828484615114503E-2</v>
      </c>
      <c r="EJ186" s="5">
        <v>-0.15640900706731201</v>
      </c>
      <c r="EK186" s="5">
        <v>7.2313407657451697E-3</v>
      </c>
      <c r="EL186" s="5">
        <v>-0.29534726744573497</v>
      </c>
      <c r="EM186" s="5">
        <v>0.22658243347420201</v>
      </c>
      <c r="EN186" s="5">
        <v>9.4326534904136797E-2</v>
      </c>
      <c r="EO186" s="5">
        <v>-6.9862416663616506E-2</v>
      </c>
      <c r="EP186" s="5">
        <v>-0.12441784250011</v>
      </c>
      <c r="EQ186" s="5">
        <v>1.07951398938456E-2</v>
      </c>
      <c r="ER186" s="5">
        <v>-0.15742556648101799</v>
      </c>
      <c r="ES186" s="5">
        <v>-6.6005099770968898E-4</v>
      </c>
      <c r="ET186" s="5">
        <v>-0.22501850362859099</v>
      </c>
      <c r="EU186" s="5">
        <v>6.4036154749943397E-2</v>
      </c>
      <c r="EV186" s="5">
        <v>-0.218379965390401</v>
      </c>
      <c r="EW186" s="5">
        <v>2.0325201805198399E-2</v>
      </c>
      <c r="EX186" s="5">
        <v>-0.133874922685631</v>
      </c>
      <c r="EY186" s="5">
        <v>-2.2807936218321799E-2</v>
      </c>
      <c r="EZ186" s="5">
        <v>-0.16051769292845</v>
      </c>
      <c r="FA186" s="5">
        <v>9.6904989787400999E-3</v>
      </c>
      <c r="FB186" s="5">
        <v>0.43319845144252001</v>
      </c>
      <c r="FC186" s="5">
        <v>-0.35911377574881698</v>
      </c>
      <c r="FD186" s="5">
        <v>-6.7125970366789495E-2</v>
      </c>
      <c r="FE186" s="5">
        <v>-4.0155720469551001E-2</v>
      </c>
      <c r="FF186" s="5">
        <v>0.511727137488308</v>
      </c>
      <c r="FG186" s="5">
        <v>-0.42780832429211502</v>
      </c>
      <c r="FH186" s="5">
        <v>-0.285831684492517</v>
      </c>
      <c r="FI186" s="5">
        <v>0.27210214991211001</v>
      </c>
      <c r="FJ186" s="5">
        <v>-8.6402312132399101E-2</v>
      </c>
      <c r="FK186" s="5">
        <v>-4.8838619644307503E-2</v>
      </c>
      <c r="FL186" s="5">
        <v>0.49427998369177401</v>
      </c>
      <c r="FM186" s="5">
        <v>-0.31630886207310899</v>
      </c>
      <c r="FN186" s="5">
        <v>-6.2491348152224499E-2</v>
      </c>
      <c r="FO186" s="5">
        <v>4.4136575776364199E-2</v>
      </c>
      <c r="FP186" s="5">
        <v>-0.23243774828066799</v>
      </c>
      <c r="FQ186" s="5">
        <v>9.0389571659565196E-2</v>
      </c>
      <c r="FR186" s="5">
        <v>0.19006431650505601</v>
      </c>
      <c r="FS186" s="5">
        <v>6.8564423238263505E-2</v>
      </c>
      <c r="FT186" s="5">
        <v>9.8284695056067607E-3</v>
      </c>
      <c r="FU186" s="5">
        <v>-0.18653647640677101</v>
      </c>
      <c r="FV186" s="5">
        <v>0.34085621197282101</v>
      </c>
      <c r="FW186" s="5">
        <v>-0.29487865849005701</v>
      </c>
      <c r="FX186" s="5">
        <v>-0.129142126315343</v>
      </c>
      <c r="FY186" s="5">
        <v>1.5289297100312601E-2</v>
      </c>
      <c r="FZ186" s="5">
        <v>-6.2884933287975196E-3</v>
      </c>
      <c r="GA186" s="5">
        <v>-0.17318283390191799</v>
      </c>
      <c r="GB186" s="5">
        <v>0.51560678789633296</v>
      </c>
      <c r="GC186" s="5">
        <v>-0.47234044817721899</v>
      </c>
      <c r="GD186" s="5">
        <v>1</v>
      </c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</row>
    <row r="187" spans="1:389" x14ac:dyDescent="0.45">
      <c r="A187" s="4" t="str">
        <f ca="1">"KAZ / beta2dist in "&amp;CELL("address",'damages-1990'!$K$94)</f>
        <v>KAZ / beta2dist in '[BHM betas v3pd.xlsx]damages-1990'!$K$94</v>
      </c>
      <c r="B187" s="6">
        <v>4.95851001450568E-2</v>
      </c>
      <c r="C187" s="5">
        <v>-1.4918940489396499E-2</v>
      </c>
      <c r="D187" s="5">
        <v>1.9517233504778402E-2</v>
      </c>
      <c r="E187" s="5">
        <v>0.16572316760603101</v>
      </c>
      <c r="F187" s="5">
        <v>-0.12410887083954</v>
      </c>
      <c r="G187" s="5">
        <v>0.20124057689442501</v>
      </c>
      <c r="H187" s="5">
        <v>-0.42699319434927702</v>
      </c>
      <c r="I187" s="5">
        <v>0.43990982412756602</v>
      </c>
      <c r="J187" s="5">
        <v>0.406996035007125</v>
      </c>
      <c r="K187" s="5">
        <v>-0.27407005701825599</v>
      </c>
      <c r="L187" s="5">
        <v>0.11899997565543</v>
      </c>
      <c r="M187" s="5">
        <v>-8.5131972270605802E-2</v>
      </c>
      <c r="N187" s="5">
        <v>-0.29351657428300898</v>
      </c>
      <c r="O187" s="5">
        <v>0.24754380191043801</v>
      </c>
      <c r="P187" s="5">
        <v>3.5576940199385398E-2</v>
      </c>
      <c r="Q187" s="5">
        <v>4.4983599136507603E-2</v>
      </c>
      <c r="R187" s="5">
        <v>0.22377925516993999</v>
      </c>
      <c r="S187" s="5">
        <v>-5.8905118669378899E-2</v>
      </c>
      <c r="T187" s="5">
        <v>-0.35983168650238001</v>
      </c>
      <c r="U187" s="5">
        <v>0.370016129467995</v>
      </c>
      <c r="V187" s="5">
        <v>-0.102606511639506</v>
      </c>
      <c r="W187" s="5">
        <v>0.23543647333853701</v>
      </c>
      <c r="X187" s="5">
        <v>1.0305834372122499E-2</v>
      </c>
      <c r="Y187" s="5">
        <v>0.12652423558287401</v>
      </c>
      <c r="Z187" s="5">
        <v>-0.36081262075739301</v>
      </c>
      <c r="AA187" s="5">
        <v>0.43858960673575098</v>
      </c>
      <c r="AB187" s="5">
        <v>0.122064889411569</v>
      </c>
      <c r="AC187" s="5">
        <v>-5.1265791287292702E-2</v>
      </c>
      <c r="AD187" s="5">
        <v>0.16328999067717401</v>
      </c>
      <c r="AE187" s="5">
        <v>-7.4566488656043095E-2</v>
      </c>
      <c r="AF187" s="5">
        <v>0.17426867223304099</v>
      </c>
      <c r="AG187" s="5">
        <v>-6.3924246319858505E-2</v>
      </c>
      <c r="AH187" s="5">
        <v>-0.223272068294112</v>
      </c>
      <c r="AI187" s="5">
        <v>0.301726497770822</v>
      </c>
      <c r="AJ187" s="5">
        <v>0.45440842358209899</v>
      </c>
      <c r="AK187" s="5">
        <v>-0.29359971821730302</v>
      </c>
      <c r="AL187" s="5">
        <v>0.21544233553558401</v>
      </c>
      <c r="AM187" s="5">
        <v>-0.142485807826807</v>
      </c>
      <c r="AN187" s="5">
        <v>-0.27517007097340401</v>
      </c>
      <c r="AO187" s="5">
        <v>0.33135702354961</v>
      </c>
      <c r="AP187" s="5">
        <v>-0.53406520001555902</v>
      </c>
      <c r="AQ187" s="5">
        <v>0.57444772636262798</v>
      </c>
      <c r="AR187" s="5">
        <v>0.19618251044012</v>
      </c>
      <c r="AS187" s="5">
        <v>-2.6443036323909801E-2</v>
      </c>
      <c r="AT187" s="5">
        <v>0.32502943775725002</v>
      </c>
      <c r="AU187" s="5">
        <v>-0.25200265182603698</v>
      </c>
      <c r="AV187" s="5">
        <v>0.188663091069288</v>
      </c>
      <c r="AW187" s="5">
        <v>2.0306996397374301E-2</v>
      </c>
      <c r="AX187" s="5">
        <v>0.282182479963003</v>
      </c>
      <c r="AY187" s="5">
        <v>-7.6747317915924596E-2</v>
      </c>
      <c r="AZ187" s="5">
        <v>0.123403027256312</v>
      </c>
      <c r="BA187" s="5">
        <v>-3.9355156854671697E-2</v>
      </c>
      <c r="BB187" s="5">
        <v>0.30275807955667799</v>
      </c>
      <c r="BC187" s="5">
        <v>-0.136691040656433</v>
      </c>
      <c r="BD187" s="5">
        <v>-0.116144026505725</v>
      </c>
      <c r="BE187" s="5">
        <v>0.16974589984572799</v>
      </c>
      <c r="BF187" s="5">
        <v>2.81092585704667E-2</v>
      </c>
      <c r="BG187" s="5">
        <v>0.13842513087007</v>
      </c>
      <c r="BH187" s="5">
        <v>0.30038662164706598</v>
      </c>
      <c r="BI187" s="5">
        <v>-0.17250657855065901</v>
      </c>
      <c r="BJ187" s="5">
        <v>-0.37897747582469699</v>
      </c>
      <c r="BK187" s="5">
        <v>0.31106499776211299</v>
      </c>
      <c r="BL187" s="5">
        <v>-0.32246233766457899</v>
      </c>
      <c r="BM187" s="5">
        <v>0.33638514468904801</v>
      </c>
      <c r="BN187" s="5">
        <v>-0.34611466769951998</v>
      </c>
      <c r="BO187" s="5">
        <v>0.370699089930007</v>
      </c>
      <c r="BP187" s="5">
        <v>-0.32893721817564298</v>
      </c>
      <c r="BQ187" s="5">
        <v>0.357431644442121</v>
      </c>
      <c r="BR187" s="5">
        <v>0.119035131633024</v>
      </c>
      <c r="BS187" s="5">
        <v>-5.9213591112109998E-2</v>
      </c>
      <c r="BT187" s="5">
        <v>0.27525768570251702</v>
      </c>
      <c r="BU187" s="5">
        <v>-0.14588791966867701</v>
      </c>
      <c r="BV187" s="5">
        <v>0.17747202341423801</v>
      </c>
      <c r="BW187" s="5">
        <v>-2.3667854275990101E-2</v>
      </c>
      <c r="BX187" s="5">
        <v>0.163066336462802</v>
      </c>
      <c r="BY187" s="5">
        <v>-3.0224296600010799E-2</v>
      </c>
      <c r="BZ187" s="5">
        <v>0.18190591496684699</v>
      </c>
      <c r="CA187" s="5">
        <v>-2.0692615652082601E-2</v>
      </c>
      <c r="CB187" s="5">
        <v>-1.21343624110165E-2</v>
      </c>
      <c r="CC187" s="5">
        <v>0.109046400341518</v>
      </c>
      <c r="CD187" s="5">
        <v>0.22310356962262101</v>
      </c>
      <c r="CE187" s="5">
        <v>-0.118367054389913</v>
      </c>
      <c r="CF187" s="5">
        <v>0.180082033176173</v>
      </c>
      <c r="CG187" s="5">
        <v>-6.0613180849993703E-2</v>
      </c>
      <c r="CH187" s="5">
        <v>0.15918531633128799</v>
      </c>
      <c r="CI187" s="5">
        <v>-6.4411891730423304E-2</v>
      </c>
      <c r="CJ187" s="5">
        <v>0.155185489690297</v>
      </c>
      <c r="CK187" s="5">
        <v>-5.2339297379926701E-2</v>
      </c>
      <c r="CL187" s="5">
        <v>-0.38580360395598801</v>
      </c>
      <c r="CM187" s="5">
        <v>0.42399320112410599</v>
      </c>
      <c r="CN187" s="5">
        <v>-0.41878311779698102</v>
      </c>
      <c r="CO187" s="5">
        <v>0.492686631581917</v>
      </c>
      <c r="CP187" s="5">
        <v>0.22869205094765799</v>
      </c>
      <c r="CQ187" s="5">
        <v>-0.14403546663285599</v>
      </c>
      <c r="CR187" s="5">
        <v>4.5923570777059101E-2</v>
      </c>
      <c r="CS187" s="5">
        <v>3.9058337747788101E-2</v>
      </c>
      <c r="CT187" s="5">
        <v>-0.51813514012245598</v>
      </c>
      <c r="CU187" s="5">
        <v>0.55183029253117799</v>
      </c>
      <c r="CV187" s="5">
        <v>6.2515322356373304E-2</v>
      </c>
      <c r="CW187" s="5">
        <v>5.7894799821044597E-2</v>
      </c>
      <c r="CX187" s="5">
        <v>0.16265502421712499</v>
      </c>
      <c r="CY187" s="5">
        <v>2.03457264111041E-2</v>
      </c>
      <c r="CZ187" s="5">
        <v>9.2532246363286094E-2</v>
      </c>
      <c r="DA187" s="5">
        <v>7.2061922046461793E-2</v>
      </c>
      <c r="DB187" s="5">
        <v>4.8747859037693499E-2</v>
      </c>
      <c r="DC187" s="5">
        <v>0.24435554388969</v>
      </c>
      <c r="DD187" s="5">
        <v>0.22269667920729</v>
      </c>
      <c r="DE187" s="5">
        <v>-0.12130487882258401</v>
      </c>
      <c r="DF187" s="5">
        <v>0.42763482303214001</v>
      </c>
      <c r="DG187" s="5">
        <v>-0.34024307984469099</v>
      </c>
      <c r="DH187" s="5">
        <v>-3.8975552161016801E-2</v>
      </c>
      <c r="DI187" s="5">
        <v>0.13245080744618501</v>
      </c>
      <c r="DJ187" s="5">
        <v>-0.55792552310033605</v>
      </c>
      <c r="DK187" s="5">
        <v>0.56382111274496904</v>
      </c>
      <c r="DL187" s="5">
        <v>0.17206186248088801</v>
      </c>
      <c r="DM187" s="5">
        <v>-5.61934779929395E-2</v>
      </c>
      <c r="DN187" s="5">
        <v>-0.41950289721663298</v>
      </c>
      <c r="DO187" s="5">
        <v>0.36687826446167698</v>
      </c>
      <c r="DP187" s="5">
        <v>0.13309430707060799</v>
      </c>
      <c r="DQ187" s="5">
        <v>-7.0988165690056795E-2</v>
      </c>
      <c r="DR187" s="5">
        <v>-0.25763231815674797</v>
      </c>
      <c r="DS187" s="5">
        <v>0.355970552285922</v>
      </c>
      <c r="DT187" s="5">
        <v>5.4208796701921198E-2</v>
      </c>
      <c r="DU187" s="5">
        <v>-9.9365394391756606E-3</v>
      </c>
      <c r="DV187" s="5">
        <v>5.2601998767943102E-2</v>
      </c>
      <c r="DW187" s="5">
        <v>4.7662855157314797E-2</v>
      </c>
      <c r="DX187" s="5">
        <v>-0.39186705043685299</v>
      </c>
      <c r="DY187" s="5">
        <v>0.40948967538574099</v>
      </c>
      <c r="DZ187" s="5">
        <v>-0.33373782974701999</v>
      </c>
      <c r="EA187" s="5">
        <v>0.32328363698509099</v>
      </c>
      <c r="EB187" s="5">
        <v>0.213628490837801</v>
      </c>
      <c r="EC187" s="5">
        <v>-0.10480087063051401</v>
      </c>
      <c r="ED187" s="5">
        <v>0.15513484864587601</v>
      </c>
      <c r="EE187" s="5">
        <v>-5.5718880277911997E-2</v>
      </c>
      <c r="EF187" s="5">
        <v>4.0601493903332002E-2</v>
      </c>
      <c r="EG187" s="5">
        <v>3.9109539276612197E-2</v>
      </c>
      <c r="EH187" s="5">
        <v>0.20926380333909</v>
      </c>
      <c r="EI187" s="5">
        <v>-4.2926511016416702E-2</v>
      </c>
      <c r="EJ187" s="5">
        <v>0.17066258644812299</v>
      </c>
      <c r="EK187" s="5">
        <v>6.7462747454528004E-4</v>
      </c>
      <c r="EL187" s="5">
        <v>0.34480185891354997</v>
      </c>
      <c r="EM187" s="5">
        <v>-0.26227808881478698</v>
      </c>
      <c r="EN187" s="5">
        <v>9.6051822384882801E-2</v>
      </c>
      <c r="EO187" s="5">
        <v>-9.5244556441801201E-3</v>
      </c>
      <c r="EP187" s="5">
        <v>0.135572523081503</v>
      </c>
      <c r="EQ187" s="5">
        <v>-1.8067099660789E-2</v>
      </c>
      <c r="ER187" s="5">
        <v>0.18069458858503501</v>
      </c>
      <c r="ES187" s="5">
        <v>4.1364035788632103E-3</v>
      </c>
      <c r="ET187" s="5">
        <v>0.215096602903006</v>
      </c>
      <c r="EU187" s="5">
        <v>-5.1665261236694501E-2</v>
      </c>
      <c r="EV187" s="5">
        <v>0.206573967308368</v>
      </c>
      <c r="EW187" s="5">
        <v>-9.3796222761446599E-3</v>
      </c>
      <c r="EX187" s="5">
        <v>0.13054040891084601</v>
      </c>
      <c r="EY187" s="5">
        <v>6.2835198285931801E-2</v>
      </c>
      <c r="EZ187" s="5">
        <v>0.167473415010579</v>
      </c>
      <c r="FA187" s="5">
        <v>8.3711119226327901E-3</v>
      </c>
      <c r="FB187" s="5">
        <v>-0.18768528510791299</v>
      </c>
      <c r="FC187" s="5">
        <v>0.26966646378546499</v>
      </c>
      <c r="FD187" s="5">
        <v>8.0919261969516307E-2</v>
      </c>
      <c r="FE187" s="5">
        <v>3.5039881793609902E-2</v>
      </c>
      <c r="FF187" s="5">
        <v>-0.28164486097609998</v>
      </c>
      <c r="FG187" s="5">
        <v>0.35908640642124201</v>
      </c>
      <c r="FH187" s="5">
        <v>0.31799133961728498</v>
      </c>
      <c r="FI187" s="5">
        <v>-0.31483972274283101</v>
      </c>
      <c r="FJ187" s="5">
        <v>9.3092621610135901E-2</v>
      </c>
      <c r="FK187" s="5">
        <v>6.38767462892008E-2</v>
      </c>
      <c r="FL187" s="5">
        <v>-0.29749960070425702</v>
      </c>
      <c r="FM187" s="5">
        <v>0.287531525647514</v>
      </c>
      <c r="FN187" s="5">
        <v>0.20096812419610899</v>
      </c>
      <c r="FO187" s="5">
        <v>-0.107839893283367</v>
      </c>
      <c r="FP187" s="5">
        <v>0.30691832595501101</v>
      </c>
      <c r="FQ187" s="5">
        <v>-0.144793476001086</v>
      </c>
      <c r="FR187" s="5">
        <v>-4.2532666821149201E-2</v>
      </c>
      <c r="FS187" s="5">
        <v>-0.121248496684856</v>
      </c>
      <c r="FT187" s="5">
        <v>4.75392822221729E-2</v>
      </c>
      <c r="FU187" s="5">
        <v>0.18121768482624301</v>
      </c>
      <c r="FV187" s="5">
        <v>-8.5040492594528103E-2</v>
      </c>
      <c r="FW187" s="5">
        <v>0.16763748059539599</v>
      </c>
      <c r="FX187" s="5">
        <v>0.12858310952729399</v>
      </c>
      <c r="FY187" s="5">
        <v>-1.9294496764886799E-3</v>
      </c>
      <c r="FZ187" s="5">
        <v>8.4645421722730901E-2</v>
      </c>
      <c r="GA187" s="5">
        <v>0.15570777997959001</v>
      </c>
      <c r="GB187" s="5">
        <v>-0.27222180937307899</v>
      </c>
      <c r="GC187" s="5">
        <v>0.39028969183377599</v>
      </c>
      <c r="GD187" s="5">
        <v>-0.903954881270709</v>
      </c>
      <c r="GE187" s="5">
        <v>1</v>
      </c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</row>
    <row r="188" spans="1:389" x14ac:dyDescent="0.45">
      <c r="A188" s="4" t="str">
        <f ca="1">"KEN / beta1dist in "&amp;CELL("address",'damages-1990'!$J$95)</f>
        <v>KEN / beta1dist in '[BHM betas v3pd.xlsx]damages-1990'!$J$95</v>
      </c>
      <c r="B188" s="6">
        <v>0.25979545263908999</v>
      </c>
      <c r="C188" s="5">
        <v>0.114381645720044</v>
      </c>
      <c r="D188" s="5">
        <v>0.51115160196356302</v>
      </c>
      <c r="E188" s="5">
        <v>-0.25535997407269201</v>
      </c>
      <c r="F188" s="5">
        <v>0.202373867046207</v>
      </c>
      <c r="G188" s="5">
        <v>8.1908370761416799E-2</v>
      </c>
      <c r="H188" s="5">
        <v>-0.168942455919985</v>
      </c>
      <c r="I188" s="5">
        <v>0.17478476430592099</v>
      </c>
      <c r="J188" s="5">
        <v>0.50500657089604295</v>
      </c>
      <c r="K188" s="5">
        <v>-0.16245312453549199</v>
      </c>
      <c r="L188" s="5">
        <v>0.30854715747433598</v>
      </c>
      <c r="M188" s="5">
        <v>4.3373101069648701E-2</v>
      </c>
      <c r="N188" s="5">
        <v>0.10449937346638501</v>
      </c>
      <c r="O188" s="5">
        <v>-0.14412621743474599</v>
      </c>
      <c r="P188" s="5">
        <v>0.26827882297458699</v>
      </c>
      <c r="Q188" s="5">
        <v>-5.9700497018977297E-2</v>
      </c>
      <c r="R188" s="5">
        <v>0.515790446775791</v>
      </c>
      <c r="S188" s="5">
        <v>-0.23194370926683899</v>
      </c>
      <c r="T188" s="5">
        <v>-6.1204334363920698E-2</v>
      </c>
      <c r="U188" s="5">
        <v>5.5153058658453401E-2</v>
      </c>
      <c r="V188" s="5">
        <v>0.216197741419662</v>
      </c>
      <c r="W188" s="5">
        <v>0.196444030209667</v>
      </c>
      <c r="X188" s="5">
        <v>0.57956029174254098</v>
      </c>
      <c r="Y188" s="5">
        <v>-0.28916677720515799</v>
      </c>
      <c r="Z188" s="5">
        <v>1.5113312588767599E-2</v>
      </c>
      <c r="AA188" s="5">
        <v>0.10679056979342701</v>
      </c>
      <c r="AB188" s="5">
        <v>0.30374908516489901</v>
      </c>
      <c r="AC188" s="5">
        <v>-0.11491958363782</v>
      </c>
      <c r="AD188" s="5">
        <v>0.24231242944871201</v>
      </c>
      <c r="AE188" s="5">
        <v>-2.2389950182201399E-2</v>
      </c>
      <c r="AF188" s="5">
        <v>0.31018421198040402</v>
      </c>
      <c r="AG188" s="5">
        <v>-5.2484948199303098E-2</v>
      </c>
      <c r="AH188" s="5">
        <v>0.156862697013574</v>
      </c>
      <c r="AI188" s="5">
        <v>7.1044875815566497E-2</v>
      </c>
      <c r="AJ188" s="5">
        <v>0.47772672336129701</v>
      </c>
      <c r="AK188" s="5">
        <v>-8.5246821085703695E-2</v>
      </c>
      <c r="AL188" s="5">
        <v>0.35303337505874399</v>
      </c>
      <c r="AM188" s="5">
        <v>-0.16560465259506699</v>
      </c>
      <c r="AN188" s="5">
        <v>0.124027169597409</v>
      </c>
      <c r="AO188" s="5">
        <v>-7.4751714965018102E-3</v>
      </c>
      <c r="AP188" s="5">
        <v>-0.165909379652557</v>
      </c>
      <c r="AQ188" s="5">
        <v>0.154042924266863</v>
      </c>
      <c r="AR188" s="5">
        <v>0.49117121996563201</v>
      </c>
      <c r="AS188" s="5">
        <v>-0.26678164595145099</v>
      </c>
      <c r="AT188" s="5">
        <v>0.21065028392792301</v>
      </c>
      <c r="AU188" s="5">
        <v>1.0919644552627899E-2</v>
      </c>
      <c r="AV188" s="5">
        <v>0.43889491001013903</v>
      </c>
      <c r="AW188" s="5">
        <v>-9.3016517980654106E-2</v>
      </c>
      <c r="AX188" s="5">
        <v>0.53725314271655999</v>
      </c>
      <c r="AY188" s="5">
        <v>-0.27951770668223802</v>
      </c>
      <c r="AZ188" s="5">
        <v>0.29740404949101101</v>
      </c>
      <c r="BA188" s="5">
        <v>-9.3067129291836706E-2</v>
      </c>
      <c r="BB188" s="5">
        <v>0.42255533540645202</v>
      </c>
      <c r="BC188" s="5">
        <v>-0.11953384269827701</v>
      </c>
      <c r="BD188" s="5">
        <v>7.1828661453856593E-2</v>
      </c>
      <c r="BE188" s="5">
        <v>0.318185759549375</v>
      </c>
      <c r="BF188" s="5">
        <v>0.24669475085533801</v>
      </c>
      <c r="BG188" s="5">
        <v>5.6267249730572698E-3</v>
      </c>
      <c r="BH188" s="5">
        <v>0.52395186236156299</v>
      </c>
      <c r="BI188" s="5">
        <v>-0.27225439831322601</v>
      </c>
      <c r="BJ188" s="5">
        <v>-0.33947497938752802</v>
      </c>
      <c r="BK188" s="5">
        <v>0.21578098568340101</v>
      </c>
      <c r="BL188" s="5">
        <v>-5.9372869207118303E-2</v>
      </c>
      <c r="BM188" s="5">
        <v>3.1571944168860902E-2</v>
      </c>
      <c r="BN188" s="5">
        <v>-0.115540899105849</v>
      </c>
      <c r="BO188" s="5">
        <v>0.29542675702423699</v>
      </c>
      <c r="BP188" s="5">
        <v>-0.19820141410945699</v>
      </c>
      <c r="BQ188" s="5">
        <v>0.38475703362503599</v>
      </c>
      <c r="BR188" s="5">
        <v>0.36118379134936202</v>
      </c>
      <c r="BS188" s="5">
        <v>-0.17015765332595001</v>
      </c>
      <c r="BT188" s="5">
        <v>0.45117365742465099</v>
      </c>
      <c r="BU188" s="5">
        <v>-0.18641057523320301</v>
      </c>
      <c r="BV188" s="5">
        <v>0.55002739770190601</v>
      </c>
      <c r="BW188" s="5">
        <v>-0.30297592853285499</v>
      </c>
      <c r="BX188" s="5">
        <v>0.48793615880006602</v>
      </c>
      <c r="BY188" s="5">
        <v>-0.28907254478795802</v>
      </c>
      <c r="BZ188" s="5">
        <v>0.55866405196963498</v>
      </c>
      <c r="CA188" s="5">
        <v>-0.35121663777051998</v>
      </c>
      <c r="CB188" s="5">
        <v>0.40911416295902597</v>
      </c>
      <c r="CC188" s="5">
        <v>-0.17287463419066801</v>
      </c>
      <c r="CD188" s="5">
        <v>0.28368653892391499</v>
      </c>
      <c r="CE188" s="5">
        <v>-6.7288216752809701E-2</v>
      </c>
      <c r="CF188" s="5">
        <v>0.52188092387425</v>
      </c>
      <c r="CG188" s="5">
        <v>-0.33418140240913202</v>
      </c>
      <c r="CH188" s="5">
        <v>0.39982754468074599</v>
      </c>
      <c r="CI188" s="5">
        <v>-0.24120050287799399</v>
      </c>
      <c r="CJ188" s="5">
        <v>0.25880366760896001</v>
      </c>
      <c r="CK188" s="5">
        <v>6.2021719701456902E-2</v>
      </c>
      <c r="CL188" s="5">
        <v>-4.9096174354440997E-2</v>
      </c>
      <c r="CM188" s="5">
        <v>8.5731479860128093E-2</v>
      </c>
      <c r="CN188" s="5">
        <v>-2.0010771709865802E-2</v>
      </c>
      <c r="CO188" s="5">
        <v>9.4331377712904702E-2</v>
      </c>
      <c r="CP188" s="5">
        <v>0.42206722621639797</v>
      </c>
      <c r="CQ188" s="5">
        <v>-0.22113722545595199</v>
      </c>
      <c r="CR188" s="5">
        <v>0.30818870616150801</v>
      </c>
      <c r="CS188" s="5">
        <v>-8.6896541967160207E-2</v>
      </c>
      <c r="CT188" s="5">
        <v>-3.8435468566074701E-2</v>
      </c>
      <c r="CU188" s="5">
        <v>4.74699353477466E-2</v>
      </c>
      <c r="CV188" s="5">
        <v>0.19700937561378301</v>
      </c>
      <c r="CW188" s="5">
        <v>3.0267283680881E-2</v>
      </c>
      <c r="CX188" s="5">
        <v>0.22958667170770999</v>
      </c>
      <c r="CY188" s="5">
        <v>0.122110559466376</v>
      </c>
      <c r="CZ188" s="5">
        <v>0.57305912681912297</v>
      </c>
      <c r="DA188" s="5">
        <v>-0.35081184774877999</v>
      </c>
      <c r="DB188" s="5">
        <v>0.29686288893910701</v>
      </c>
      <c r="DC188" s="5">
        <v>0.208126234827992</v>
      </c>
      <c r="DD188" s="5">
        <v>0.26456066093807701</v>
      </c>
      <c r="DE188" s="5">
        <v>-1.0711189119337499E-2</v>
      </c>
      <c r="DF188" s="5">
        <v>0.51529933394856098</v>
      </c>
      <c r="DG188" s="5">
        <v>-0.270226111489622</v>
      </c>
      <c r="DH188" s="5">
        <v>0.35063395434954098</v>
      </c>
      <c r="DI188" s="5">
        <v>-6.6418915192754405E-2</v>
      </c>
      <c r="DJ188" s="5">
        <v>-0.23269558990094499</v>
      </c>
      <c r="DK188" s="5">
        <v>0.18636066286736799</v>
      </c>
      <c r="DL188" s="5">
        <v>0.63185802424156201</v>
      </c>
      <c r="DM188" s="5">
        <v>-0.328424999747843</v>
      </c>
      <c r="DN188" s="5">
        <v>-0.29944692143306001</v>
      </c>
      <c r="DO188" s="5">
        <v>0.18930557228644801</v>
      </c>
      <c r="DP188" s="5">
        <v>0.144267067909851</v>
      </c>
      <c r="DQ188" s="5">
        <v>0.179622008174328</v>
      </c>
      <c r="DR188" s="5">
        <v>0.121779441607844</v>
      </c>
      <c r="DS188" s="5">
        <v>9.2025554785037697E-2</v>
      </c>
      <c r="DT188" s="5">
        <v>0.29379923422484799</v>
      </c>
      <c r="DU188" s="5">
        <v>-0.12657184539820099</v>
      </c>
      <c r="DV188" s="5">
        <v>0.36506931152605299</v>
      </c>
      <c r="DW188" s="5">
        <v>-0.18615867591337501</v>
      </c>
      <c r="DX188" s="5">
        <v>-0.216094691385116</v>
      </c>
      <c r="DY188" s="5">
        <v>0.31341806315903797</v>
      </c>
      <c r="DZ188" s="5">
        <v>0.10198668253941399</v>
      </c>
      <c r="EA188" s="5">
        <v>-0.120932935930659</v>
      </c>
      <c r="EB188" s="5">
        <v>0.38093023975878199</v>
      </c>
      <c r="EC188" s="5">
        <v>-0.15762161641564801</v>
      </c>
      <c r="ED188" s="5">
        <v>0.46732769666046597</v>
      </c>
      <c r="EE188" s="5">
        <v>-0.23152045017107101</v>
      </c>
      <c r="EF188" s="5">
        <v>0.29076731531281302</v>
      </c>
      <c r="EG188" s="5">
        <v>-8.0465254953568294E-2</v>
      </c>
      <c r="EH188" s="5">
        <v>0.473573293222043</v>
      </c>
      <c r="EI188" s="5">
        <v>-0.16052944624761101</v>
      </c>
      <c r="EJ188" s="5">
        <v>0.43949337062305999</v>
      </c>
      <c r="EK188" s="5">
        <v>-0.14059524670041099</v>
      </c>
      <c r="EL188" s="5">
        <v>0.55832745814017704</v>
      </c>
      <c r="EM188" s="5">
        <v>-0.33330551856031998</v>
      </c>
      <c r="EN188" s="5">
        <v>0.20134216326232801</v>
      </c>
      <c r="EO188" s="5">
        <v>0.12933454237476599</v>
      </c>
      <c r="EP188" s="5">
        <v>0.255473720444721</v>
      </c>
      <c r="EQ188" s="5">
        <v>-4.8231869556702597E-2</v>
      </c>
      <c r="ER188" s="5">
        <v>0.535546928059493</v>
      </c>
      <c r="ES188" s="5">
        <v>-0.29077249361333102</v>
      </c>
      <c r="ET188" s="5">
        <v>0.51991901299501797</v>
      </c>
      <c r="EU188" s="5">
        <v>-0.31159697254022301</v>
      </c>
      <c r="EV188" s="5">
        <v>0.57200393907525504</v>
      </c>
      <c r="EW188" s="5">
        <v>-0.35017064960243</v>
      </c>
      <c r="EX188" s="5">
        <v>0.39361389569080002</v>
      </c>
      <c r="EY188" s="5">
        <v>-0.146039746053543</v>
      </c>
      <c r="EZ188" s="5">
        <v>0.47350093493072698</v>
      </c>
      <c r="FA188" s="5">
        <v>-0.225065323114407</v>
      </c>
      <c r="FB188" s="5">
        <v>0.206315456200025</v>
      </c>
      <c r="FC188" s="5">
        <v>1.25952369194376E-2</v>
      </c>
      <c r="FD188" s="5">
        <v>0.34337734635060602</v>
      </c>
      <c r="FE188" s="5">
        <v>-0.10365165112739699</v>
      </c>
      <c r="FF188" s="5">
        <v>0.12802081584048799</v>
      </c>
      <c r="FG188" s="5">
        <v>5.8164811214587997E-2</v>
      </c>
      <c r="FH188" s="5">
        <v>0.35033400204759402</v>
      </c>
      <c r="FI188" s="5">
        <v>-5.2915016053114598E-2</v>
      </c>
      <c r="FJ188" s="5">
        <v>0.48216275488124299</v>
      </c>
      <c r="FK188" s="5">
        <v>-0.133079462602923</v>
      </c>
      <c r="FL188" s="5">
        <v>-0.23856348388665399</v>
      </c>
      <c r="FM188" s="5">
        <v>0.36338536629500601</v>
      </c>
      <c r="FN188" s="5">
        <v>0.31523960403090101</v>
      </c>
      <c r="FO188" s="5">
        <v>8.5566359784809698E-2</v>
      </c>
      <c r="FP188" s="5">
        <v>0.25959241013069501</v>
      </c>
      <c r="FQ188" s="5">
        <v>0.200262496713</v>
      </c>
      <c r="FR188" s="5">
        <v>-0.26417901510651398</v>
      </c>
      <c r="FS188" s="5">
        <v>0.18337811656264499</v>
      </c>
      <c r="FT188" s="5">
        <v>0.31190572809807099</v>
      </c>
      <c r="FU188" s="5">
        <v>0.155691423121742</v>
      </c>
      <c r="FV188" s="5">
        <v>0.27453691220559301</v>
      </c>
      <c r="FW188" s="5">
        <v>9.5039274538827895E-3</v>
      </c>
      <c r="FX188" s="5">
        <v>0.45425822478438799</v>
      </c>
      <c r="FY188" s="5">
        <v>-0.221549228058461</v>
      </c>
      <c r="FZ188" s="5">
        <v>0.33427359214837399</v>
      </c>
      <c r="GA188" s="5">
        <v>0.15339575661179</v>
      </c>
      <c r="GB188" s="5">
        <v>0.16730152689056799</v>
      </c>
      <c r="GC188" s="5">
        <v>8.5084576456298702E-2</v>
      </c>
      <c r="GD188" s="5">
        <v>-0.18735139291969699</v>
      </c>
      <c r="GE188" s="5">
        <v>0.21128174439982</v>
      </c>
      <c r="GF188" s="5">
        <v>1</v>
      </c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</row>
    <row r="189" spans="1:389" x14ac:dyDescent="0.45">
      <c r="A189" s="4" t="str">
        <f ca="1">"KEN / beta2dist in "&amp;CELL("address",'damages-1990'!$K$95)</f>
        <v>KEN / beta2dist in '[BHM betas v3pd.xlsx]damages-1990'!$K$95</v>
      </c>
      <c r="B189" s="6">
        <v>-0.125109093857288</v>
      </c>
      <c r="C189" s="5">
        <v>0.22223423487733501</v>
      </c>
      <c r="D189" s="5">
        <v>-0.23584929082232001</v>
      </c>
      <c r="E189" s="5">
        <v>0.54623981678976996</v>
      </c>
      <c r="F189" s="5">
        <v>-6.7798524183348197E-2</v>
      </c>
      <c r="G189" s="5">
        <v>5.7929270798386202E-2</v>
      </c>
      <c r="H189" s="5">
        <v>0.11449989782206201</v>
      </c>
      <c r="I189" s="5">
        <v>-0.20882416968286499</v>
      </c>
      <c r="J189" s="5">
        <v>-0.23684031838176001</v>
      </c>
      <c r="K189" s="5">
        <v>0.40046188351832801</v>
      </c>
      <c r="L189" s="5">
        <v>-1.74215238127595E-2</v>
      </c>
      <c r="M189" s="5">
        <v>8.6497781070725602E-2</v>
      </c>
      <c r="N189" s="5">
        <v>-0.14669729088111699</v>
      </c>
      <c r="O189" s="5">
        <v>0.18543340662389701</v>
      </c>
      <c r="P189" s="5">
        <v>-0.27108507226746997</v>
      </c>
      <c r="Q189" s="5">
        <v>0.364025330160612</v>
      </c>
      <c r="R189" s="5">
        <v>-0.16752361155867501</v>
      </c>
      <c r="S189" s="5">
        <v>0.41045270649107002</v>
      </c>
      <c r="T189" s="5">
        <v>-8.1220279935344503E-2</v>
      </c>
      <c r="U189" s="5">
        <v>9.2617142278454398E-2</v>
      </c>
      <c r="V189" s="5">
        <v>6.9703459573549204E-3</v>
      </c>
      <c r="W189" s="5">
        <v>-3.9602780100531601E-2</v>
      </c>
      <c r="X189" s="5">
        <v>-0.32883322186785302</v>
      </c>
      <c r="Y189" s="5">
        <v>0.56936938748354904</v>
      </c>
      <c r="Z189" s="5">
        <v>-1.4598844315000199E-2</v>
      </c>
      <c r="AA189" s="5">
        <v>5.3916667069491197E-3</v>
      </c>
      <c r="AB189" s="5">
        <v>-6.5861757241977195E-2</v>
      </c>
      <c r="AC189" s="5">
        <v>0.35325546479527697</v>
      </c>
      <c r="AD189" s="5">
        <v>-5.8050706163196103E-2</v>
      </c>
      <c r="AE189" s="5">
        <v>0.31879613514543498</v>
      </c>
      <c r="AF189" s="5">
        <v>-6.3829469287250001E-2</v>
      </c>
      <c r="AG189" s="5">
        <v>0.245471535109305</v>
      </c>
      <c r="AH189" s="5">
        <v>-7.2383684071850696E-2</v>
      </c>
      <c r="AI189" s="5">
        <v>6.7190511734581806E-2</v>
      </c>
      <c r="AJ189" s="5">
        <v>-0.26687301804221197</v>
      </c>
      <c r="AK189" s="5">
        <v>0.34137562095821</v>
      </c>
      <c r="AL189" s="5">
        <v>5.2280101768036102E-2</v>
      </c>
      <c r="AM189" s="5">
        <v>-2.0064952183572E-3</v>
      </c>
      <c r="AN189" s="5">
        <v>-0.17765181710094899</v>
      </c>
      <c r="AO189" s="5">
        <v>0.19884818403618701</v>
      </c>
      <c r="AP189" s="5">
        <v>-2.3421991643559702E-2</v>
      </c>
      <c r="AQ189" s="5">
        <v>6.6855646688563503E-2</v>
      </c>
      <c r="AR189" s="5">
        <v>-0.14876509526529999</v>
      </c>
      <c r="AS189" s="5">
        <v>0.31717375912221801</v>
      </c>
      <c r="AT189" s="5">
        <v>0.14716335331358801</v>
      </c>
      <c r="AU189" s="5">
        <v>-0.14353804802485801</v>
      </c>
      <c r="AV189" s="5">
        <v>-3.1985273807996997E-2</v>
      </c>
      <c r="AW189" s="5">
        <v>0.21637233624029401</v>
      </c>
      <c r="AX189" s="5">
        <v>-0.18117274215158499</v>
      </c>
      <c r="AY189" s="5">
        <v>0.458735849076636</v>
      </c>
      <c r="AZ189" s="5">
        <v>-0.283839632142109</v>
      </c>
      <c r="BA189" s="5">
        <v>0.37775080495208702</v>
      </c>
      <c r="BB189" s="5">
        <v>-8.4955449321652096E-2</v>
      </c>
      <c r="BC189" s="5">
        <v>0.33497170698355799</v>
      </c>
      <c r="BD189" s="5">
        <v>-2.4818999165250599E-2</v>
      </c>
      <c r="BE189" s="5">
        <v>3.8829070979203698E-2</v>
      </c>
      <c r="BF189" s="5">
        <v>9.56902394683209E-4</v>
      </c>
      <c r="BG189" s="5">
        <v>0.184156183577324</v>
      </c>
      <c r="BH189" s="5">
        <v>-0.24245509323053599</v>
      </c>
      <c r="BI189" s="5">
        <v>0.55491518430005404</v>
      </c>
      <c r="BJ189" s="5">
        <v>5.56986854750307E-2</v>
      </c>
      <c r="BK189" s="5">
        <v>-0.17122687708220799</v>
      </c>
      <c r="BL189" s="5">
        <v>-9.0234178416647007E-2</v>
      </c>
      <c r="BM189" s="5">
        <v>8.0984775413137006E-2</v>
      </c>
      <c r="BN189" s="5">
        <v>9.6699937801241906E-2</v>
      </c>
      <c r="BO189" s="5">
        <v>-0.242582096951899</v>
      </c>
      <c r="BP189" s="5">
        <v>0.113709572812023</v>
      </c>
      <c r="BQ189" s="5">
        <v>-0.28238727270235497</v>
      </c>
      <c r="BR189" s="5">
        <v>-0.21295193382805999</v>
      </c>
      <c r="BS189" s="5">
        <v>0.50256394595515497</v>
      </c>
      <c r="BT189" s="5">
        <v>-0.10418972907106</v>
      </c>
      <c r="BU189" s="5">
        <v>0.422775966344141</v>
      </c>
      <c r="BV189" s="5">
        <v>-0.26269625327109702</v>
      </c>
      <c r="BW189" s="5">
        <v>0.58139753341134803</v>
      </c>
      <c r="BX189" s="5">
        <v>-0.201140320553792</v>
      </c>
      <c r="BY189" s="5">
        <v>0.52047273937210603</v>
      </c>
      <c r="BZ189" s="5">
        <v>-0.293053257517573</v>
      </c>
      <c r="CA189" s="5">
        <v>0.59284586993450805</v>
      </c>
      <c r="CB189" s="5">
        <v>-0.10784100966233801</v>
      </c>
      <c r="CC189" s="5">
        <v>0.23156170790792999</v>
      </c>
      <c r="CD189" s="5">
        <v>-0.20708500970270299</v>
      </c>
      <c r="CE189" s="5">
        <v>0.29203510699329199</v>
      </c>
      <c r="CF189" s="5">
        <v>-0.38879623506036798</v>
      </c>
      <c r="CG189" s="5">
        <v>0.542585301976788</v>
      </c>
      <c r="CH189" s="5">
        <v>3.2002593435932099E-2</v>
      </c>
      <c r="CI189" s="5">
        <v>3.4122395370701199E-2</v>
      </c>
      <c r="CJ189" s="5">
        <v>1.47037450662148E-2</v>
      </c>
      <c r="CK189" s="5">
        <v>-6.4780325714990497E-2</v>
      </c>
      <c r="CL189" s="5">
        <v>-2.65907378120206E-2</v>
      </c>
      <c r="CM189" s="5">
        <v>4.2487059310937901E-2</v>
      </c>
      <c r="CN189" s="5">
        <v>-1.88345669604244E-2</v>
      </c>
      <c r="CO189" s="5">
        <v>2.0663341372162799E-2</v>
      </c>
      <c r="CP189" s="5">
        <v>-0.45674004878112701</v>
      </c>
      <c r="CQ189" s="5">
        <v>0.60878066641825201</v>
      </c>
      <c r="CR189" s="5">
        <v>-0.282662039005315</v>
      </c>
      <c r="CS189" s="5">
        <v>0.38327247355714</v>
      </c>
      <c r="CT189" s="5">
        <v>-3.4099477871243698E-2</v>
      </c>
      <c r="CU189" s="5">
        <v>5.9085279343585297E-2</v>
      </c>
      <c r="CV189" s="5">
        <v>-6.1221723956519203E-2</v>
      </c>
      <c r="CW189" s="5">
        <v>0.17620975875332201</v>
      </c>
      <c r="CX189" s="5">
        <v>5.2528782714459703E-2</v>
      </c>
      <c r="CY189" s="5">
        <v>8.6434117064283E-2</v>
      </c>
      <c r="CZ189" s="5">
        <v>-0.31202530462706302</v>
      </c>
      <c r="DA189" s="5">
        <v>0.53890495997817001</v>
      </c>
      <c r="DB189" s="5">
        <v>6.1525812294137498E-2</v>
      </c>
      <c r="DC189" s="5">
        <v>-0.105617792697454</v>
      </c>
      <c r="DD189" s="5">
        <v>-0.21848490121460501</v>
      </c>
      <c r="DE189" s="5">
        <v>0.39426276902018398</v>
      </c>
      <c r="DF189" s="5">
        <v>-0.35837803238612598</v>
      </c>
      <c r="DG189" s="5">
        <v>0.54698545134774901</v>
      </c>
      <c r="DH189" s="5">
        <v>-0.21323265490118201</v>
      </c>
      <c r="DI189" s="5">
        <v>0.332696392589371</v>
      </c>
      <c r="DJ189" s="5">
        <v>2.9440263752126501E-2</v>
      </c>
      <c r="DK189" s="5">
        <v>1.13663826483104E-2</v>
      </c>
      <c r="DL189" s="5">
        <v>-0.45519152890531001</v>
      </c>
      <c r="DM189" s="5">
        <v>0.69060474474885203</v>
      </c>
      <c r="DN189" s="5">
        <v>5.2341446659925801E-2</v>
      </c>
      <c r="DO189" s="5">
        <v>-1.5997936358174501E-2</v>
      </c>
      <c r="DP189" s="5">
        <v>0.27462337407168602</v>
      </c>
      <c r="DQ189" s="5">
        <v>-0.262331656526191</v>
      </c>
      <c r="DR189" s="5">
        <v>-5.5635971304188701E-2</v>
      </c>
      <c r="DS189" s="5">
        <v>5.7160063233884097E-2</v>
      </c>
      <c r="DT189" s="5">
        <v>-0.24874922008002601</v>
      </c>
      <c r="DU189" s="5">
        <v>0.32666043407858802</v>
      </c>
      <c r="DV189" s="5">
        <v>-0.14271353286819399</v>
      </c>
      <c r="DW189" s="5">
        <v>0.39954085753141999</v>
      </c>
      <c r="DX189" s="5">
        <v>0.14363336452486</v>
      </c>
      <c r="DY189" s="5">
        <v>-0.18496136647918099</v>
      </c>
      <c r="DZ189" s="5">
        <v>-0.149193933011598</v>
      </c>
      <c r="EA189" s="5">
        <v>0.21688252302441199</v>
      </c>
      <c r="EB189" s="5">
        <v>-0.19635608978298599</v>
      </c>
      <c r="EC189" s="5">
        <v>0.46165337978542098</v>
      </c>
      <c r="ED189" s="5">
        <v>-0.25639447929532699</v>
      </c>
      <c r="EE189" s="5">
        <v>0.54612006850264405</v>
      </c>
      <c r="EF189" s="5">
        <v>-0.30237457466911299</v>
      </c>
      <c r="EG189" s="5">
        <v>0.38813507916604201</v>
      </c>
      <c r="EH189" s="5">
        <v>-0.26173004868021998</v>
      </c>
      <c r="EI189" s="5">
        <v>0.47332946319333802</v>
      </c>
      <c r="EJ189" s="5">
        <v>-0.23416834147978399</v>
      </c>
      <c r="EK189" s="5">
        <v>0.46333428055144099</v>
      </c>
      <c r="EL189" s="5">
        <v>-0.234082619261296</v>
      </c>
      <c r="EM189" s="5">
        <v>0.50915250215775099</v>
      </c>
      <c r="EN189" s="5">
        <v>0.109298735323928</v>
      </c>
      <c r="EO189" s="5">
        <v>-0.16879960507599001</v>
      </c>
      <c r="EP189" s="5">
        <v>-0.215577416302035</v>
      </c>
      <c r="EQ189" s="5">
        <v>0.31481299913949901</v>
      </c>
      <c r="ER189" s="5">
        <v>-0.198629302222045</v>
      </c>
      <c r="ES189" s="5">
        <v>0.40983723171748598</v>
      </c>
      <c r="ET189" s="5">
        <v>-0.231523295940646</v>
      </c>
      <c r="EU189" s="5">
        <v>0.45724091095768299</v>
      </c>
      <c r="EV189" s="5">
        <v>-0.337378580268265</v>
      </c>
      <c r="EW189" s="5">
        <v>0.55208706515226202</v>
      </c>
      <c r="EX189" s="5">
        <v>-6.6385098452489896E-2</v>
      </c>
      <c r="EY189" s="5">
        <v>0.20380285128427</v>
      </c>
      <c r="EZ189" s="5">
        <v>-0.17846128475616099</v>
      </c>
      <c r="FA189" s="5">
        <v>0.40283115993358498</v>
      </c>
      <c r="FB189" s="5">
        <v>-0.13442308840272499</v>
      </c>
      <c r="FC189" s="5">
        <v>0.154313397892238</v>
      </c>
      <c r="FD189" s="5">
        <v>-9.3756743591653105E-2</v>
      </c>
      <c r="FE189" s="5">
        <v>0.22264458302279999</v>
      </c>
      <c r="FF189" s="5">
        <v>-8.4151555476743994E-2</v>
      </c>
      <c r="FG189" s="5">
        <v>8.6640575322831703E-2</v>
      </c>
      <c r="FH189" s="5">
        <v>0.18968928079793801</v>
      </c>
      <c r="FI189" s="5">
        <v>-8.5753815667763703E-2</v>
      </c>
      <c r="FJ189" s="5">
        <v>-0.23081161194330899</v>
      </c>
      <c r="FK189" s="5">
        <v>0.41606678201125502</v>
      </c>
      <c r="FL189" s="5">
        <v>0.225637288818687</v>
      </c>
      <c r="FM189" s="5">
        <v>-0.28577414871078</v>
      </c>
      <c r="FN189" s="5">
        <v>-9.0605259809442701E-2</v>
      </c>
      <c r="FO189" s="5">
        <v>0.163276638196652</v>
      </c>
      <c r="FP189" s="5">
        <v>4.1689629694363399E-2</v>
      </c>
      <c r="FQ189" s="5">
        <v>-7.9061152564314896E-2</v>
      </c>
      <c r="FR189" s="5">
        <v>0.347768544682176</v>
      </c>
      <c r="FS189" s="5">
        <v>-0.32712667568923698</v>
      </c>
      <c r="FT189" s="5">
        <v>6.8682096667688E-3</v>
      </c>
      <c r="FU189" s="5">
        <v>-3.8285753322358E-2</v>
      </c>
      <c r="FV189" s="5">
        <v>-9.79081517978488E-2</v>
      </c>
      <c r="FW189" s="5">
        <v>0.14174971249688201</v>
      </c>
      <c r="FX189" s="5">
        <v>-0.21680071164682699</v>
      </c>
      <c r="FY189" s="5">
        <v>0.332930441621134</v>
      </c>
      <c r="FZ189" s="5">
        <v>2.90487224371303E-3</v>
      </c>
      <c r="GA189" s="5">
        <v>-1.6872299413155899E-2</v>
      </c>
      <c r="GB189" s="5">
        <v>-0.108926465931066</v>
      </c>
      <c r="GC189" s="5">
        <v>0.15256552281874899</v>
      </c>
      <c r="GD189" s="5">
        <v>8.83080606650678E-2</v>
      </c>
      <c r="GE189" s="5">
        <v>-9.3035178291562604E-2</v>
      </c>
      <c r="GF189" s="5">
        <v>-0.71871324221002197</v>
      </c>
      <c r="GG189" s="5">
        <v>1</v>
      </c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</row>
    <row r="190" spans="1:389" x14ac:dyDescent="0.45">
      <c r="A190" s="4" t="str">
        <f ca="1">"KGZ / beta1dist in "&amp;CELL("address",'damages-1990'!$J$96)</f>
        <v>KGZ / beta1dist in '[BHM betas v3pd.xlsx]damages-1990'!$J$96</v>
      </c>
      <c r="B190" s="6">
        <v>0.15734612233322101</v>
      </c>
      <c r="C190" s="5">
        <v>-0.10867404859513601</v>
      </c>
      <c r="D190" s="5">
        <v>-0.35705049991309201</v>
      </c>
      <c r="E190" s="5">
        <v>0.32718523746022998</v>
      </c>
      <c r="F190" s="5">
        <v>0.26865530167970397</v>
      </c>
      <c r="G190" s="5">
        <v>-0.22095144166129299</v>
      </c>
      <c r="H190" s="5">
        <v>0.50876302495413295</v>
      </c>
      <c r="I190" s="5">
        <v>-0.38529065952439701</v>
      </c>
      <c r="J190" s="5">
        <v>-0.46775914318605999</v>
      </c>
      <c r="K190" s="5">
        <v>0.358814375806427</v>
      </c>
      <c r="L190" s="5">
        <v>-0.12648731123009499</v>
      </c>
      <c r="M190" s="5">
        <v>0.19751194632769001</v>
      </c>
      <c r="N190" s="5">
        <v>0.36958174784505698</v>
      </c>
      <c r="O190" s="5">
        <v>-0.17466305684733099</v>
      </c>
      <c r="P190" s="5">
        <v>-0.20051403433311599</v>
      </c>
      <c r="Q190" s="5">
        <v>0.13451127259210999</v>
      </c>
      <c r="R190" s="5">
        <v>-0.28300666517404399</v>
      </c>
      <c r="S190" s="5">
        <v>0.223628027444704</v>
      </c>
      <c r="T190" s="5">
        <v>0.32955878972793301</v>
      </c>
      <c r="U190" s="5">
        <v>-0.15820376708029801</v>
      </c>
      <c r="V190" s="5">
        <v>0.251356383067731</v>
      </c>
      <c r="W190" s="5">
        <v>-0.31262321671635102</v>
      </c>
      <c r="X190" s="5">
        <v>-0.26815965869917202</v>
      </c>
      <c r="Y190" s="5">
        <v>0.23257766588980999</v>
      </c>
      <c r="Z190" s="5">
        <v>0.37436200284109999</v>
      </c>
      <c r="AA190" s="5">
        <v>-0.23031256970660099</v>
      </c>
      <c r="AB190" s="5">
        <v>-0.37034604846818198</v>
      </c>
      <c r="AC190" s="5">
        <v>0.37136174301070202</v>
      </c>
      <c r="AD190" s="5">
        <v>-0.29693191481702902</v>
      </c>
      <c r="AE190" s="5">
        <v>0.25795913772065898</v>
      </c>
      <c r="AF190" s="5">
        <v>-0.34551182023643801</v>
      </c>
      <c r="AG190" s="5">
        <v>0.29291062334526302</v>
      </c>
      <c r="AH190" s="5">
        <v>0.29576377270187398</v>
      </c>
      <c r="AI190" s="5">
        <v>-0.21766512331364499</v>
      </c>
      <c r="AJ190" s="5">
        <v>-0.399419132131282</v>
      </c>
      <c r="AK190" s="5">
        <v>0.26867274336621499</v>
      </c>
      <c r="AL190" s="5">
        <v>-9.31740693420606E-2</v>
      </c>
      <c r="AM190" s="5">
        <v>-3.62881404267157E-3</v>
      </c>
      <c r="AN190" s="5">
        <v>0.32282097419070199</v>
      </c>
      <c r="AO190" s="5">
        <v>-0.19301714475498899</v>
      </c>
      <c r="AP190" s="5">
        <v>0.23531212038708099</v>
      </c>
      <c r="AQ190" s="5">
        <v>-4.3322895366699497E-2</v>
      </c>
      <c r="AR190" s="5">
        <v>-0.28918542883882598</v>
      </c>
      <c r="AS190" s="5">
        <v>0.21257461993233601</v>
      </c>
      <c r="AT190" s="5">
        <v>-0.115075776975208</v>
      </c>
      <c r="AU190" s="5">
        <v>5.2380562206119599E-2</v>
      </c>
      <c r="AV190" s="5">
        <v>-0.294480983576769</v>
      </c>
      <c r="AW190" s="5">
        <v>0.21632206549597599</v>
      </c>
      <c r="AX190" s="5">
        <v>-0.37151679284376399</v>
      </c>
      <c r="AY190" s="5">
        <v>0.27757297232179601</v>
      </c>
      <c r="AZ190" s="5">
        <v>-0.31973502620871802</v>
      </c>
      <c r="BA190" s="5">
        <v>0.28164222531050498</v>
      </c>
      <c r="BB190" s="5">
        <v>-0.37242805279103203</v>
      </c>
      <c r="BC190" s="5">
        <v>0.302064744851192</v>
      </c>
      <c r="BD190" s="5">
        <v>0.350592689527643</v>
      </c>
      <c r="BE190" s="5">
        <v>-0.32512610502031197</v>
      </c>
      <c r="BF190" s="5">
        <v>-0.244807793554947</v>
      </c>
      <c r="BG190" s="5">
        <v>0.196203318769441</v>
      </c>
      <c r="BH190" s="5">
        <v>-0.44209168135230797</v>
      </c>
      <c r="BI190" s="5">
        <v>0.43445390029752101</v>
      </c>
      <c r="BJ190" s="5">
        <v>0.44076503049978399</v>
      </c>
      <c r="BK190" s="5">
        <v>-0.26545959688431903</v>
      </c>
      <c r="BL190" s="5">
        <v>0.34497993460510301</v>
      </c>
      <c r="BM190" s="5">
        <v>-0.175308059911849</v>
      </c>
      <c r="BN190" s="5">
        <v>0.63376509914747603</v>
      </c>
      <c r="BO190" s="5">
        <v>-0.58930084159928198</v>
      </c>
      <c r="BP190" s="5">
        <v>0.61774251470588604</v>
      </c>
      <c r="BQ190" s="5">
        <v>-0.60714006469593695</v>
      </c>
      <c r="BR190" s="5">
        <v>-0.31849347763797797</v>
      </c>
      <c r="BS190" s="5">
        <v>0.32517888839194098</v>
      </c>
      <c r="BT190" s="5">
        <v>-0.36098644650624601</v>
      </c>
      <c r="BU190" s="5">
        <v>0.36859998129891403</v>
      </c>
      <c r="BV190" s="5">
        <v>-0.38844731441300301</v>
      </c>
      <c r="BW190" s="5">
        <v>0.34575338547080098</v>
      </c>
      <c r="BX190" s="5">
        <v>-0.43098503826817303</v>
      </c>
      <c r="BY190" s="5">
        <v>0.415112999325423</v>
      </c>
      <c r="BZ190" s="5">
        <v>-0.48848058110015602</v>
      </c>
      <c r="CA190" s="5">
        <v>0.41337957704440298</v>
      </c>
      <c r="CB190" s="5">
        <v>-0.142269530144015</v>
      </c>
      <c r="CC190" s="5">
        <v>8.1701450471302603E-2</v>
      </c>
      <c r="CD190" s="5">
        <v>-0.19051875480877201</v>
      </c>
      <c r="CE190" s="5">
        <v>0.12569598436999499</v>
      </c>
      <c r="CF190" s="5">
        <v>-0.34178933845482601</v>
      </c>
      <c r="CG190" s="5">
        <v>0.26845872047869701</v>
      </c>
      <c r="CH190" s="5">
        <v>-3.3952783851002699E-2</v>
      </c>
      <c r="CI190" s="5">
        <v>-4.5289812614293601E-2</v>
      </c>
      <c r="CJ190" s="5">
        <v>3.8012193427425699E-2</v>
      </c>
      <c r="CK190" s="5">
        <v>-0.115822066732282</v>
      </c>
      <c r="CL190" s="5">
        <v>0.35926428249121301</v>
      </c>
      <c r="CM190" s="5">
        <v>-0.18960123468673401</v>
      </c>
      <c r="CN190" s="5">
        <v>0.37789995140775201</v>
      </c>
      <c r="CO190" s="5">
        <v>-0.22390243108281799</v>
      </c>
      <c r="CP190" s="5">
        <v>-0.51453027244504101</v>
      </c>
      <c r="CQ190" s="5">
        <v>0.427981228767357</v>
      </c>
      <c r="CR190" s="5">
        <v>-0.17231939109616101</v>
      </c>
      <c r="CS190" s="5">
        <v>0.12975675663939601</v>
      </c>
      <c r="CT190" s="5">
        <v>0.26963261964165303</v>
      </c>
      <c r="CU190" s="5">
        <v>-9.9094052710519701E-2</v>
      </c>
      <c r="CV190" s="5">
        <v>-0.12949356005694199</v>
      </c>
      <c r="CW190" s="5">
        <v>6.5685717305276795E-2</v>
      </c>
      <c r="CX190" s="5">
        <v>-0.35592878776477999</v>
      </c>
      <c r="CY190" s="5">
        <v>0.28498152581048403</v>
      </c>
      <c r="CZ190" s="5">
        <v>-0.39240727050465901</v>
      </c>
      <c r="DA190" s="5">
        <v>0.32208604891507298</v>
      </c>
      <c r="DB190" s="5">
        <v>-0.28982772171017201</v>
      </c>
      <c r="DC190" s="5">
        <v>0.11911771683021299</v>
      </c>
      <c r="DD190" s="5">
        <v>-0.40267097139793301</v>
      </c>
      <c r="DE190" s="5">
        <v>0.324120438496456</v>
      </c>
      <c r="DF190" s="5">
        <v>-0.34649212300361898</v>
      </c>
      <c r="DG190" s="5">
        <v>0.29752159627989999</v>
      </c>
      <c r="DH190" s="5">
        <v>0.15759353526124401</v>
      </c>
      <c r="DI190" s="5">
        <v>-0.123442470906706</v>
      </c>
      <c r="DJ190" s="5">
        <v>0.24729273516696201</v>
      </c>
      <c r="DK190" s="5">
        <v>-6.9292772839677899E-2</v>
      </c>
      <c r="DL190" s="5">
        <v>-0.38247877217283299</v>
      </c>
      <c r="DM190" s="5">
        <v>0.36639635553500399</v>
      </c>
      <c r="DN190" s="5">
        <v>0.27928774198191297</v>
      </c>
      <c r="DO190" s="5">
        <v>-8.2868865674003506E-2</v>
      </c>
      <c r="DP190" s="5">
        <v>-0.18707632267968</v>
      </c>
      <c r="DQ190" s="5">
        <v>0.15264689856722</v>
      </c>
      <c r="DR190" s="5">
        <v>0.37014525497469702</v>
      </c>
      <c r="DS190" s="5">
        <v>-0.28660914055487602</v>
      </c>
      <c r="DT190" s="5">
        <v>-0.41761410943376398</v>
      </c>
      <c r="DU190" s="5">
        <v>0.38023381586167998</v>
      </c>
      <c r="DV190" s="5">
        <v>-0.34444861425284301</v>
      </c>
      <c r="DW190" s="5">
        <v>0.33121416968773798</v>
      </c>
      <c r="DX190" s="5">
        <v>0.40259997108574602</v>
      </c>
      <c r="DY190" s="5">
        <v>-0.21871470174046401</v>
      </c>
      <c r="DZ190" s="5">
        <v>0.28560425171242099</v>
      </c>
      <c r="EA190" s="5">
        <v>-5.1085321563491402E-2</v>
      </c>
      <c r="EB190" s="5">
        <v>-0.40381695610920398</v>
      </c>
      <c r="EC190" s="5">
        <v>0.372050907897996</v>
      </c>
      <c r="ED190" s="5">
        <v>-0.43917877721180998</v>
      </c>
      <c r="EE190" s="5">
        <v>0.40571323945597798</v>
      </c>
      <c r="EF190" s="5">
        <v>-0.17765421922740701</v>
      </c>
      <c r="EG190" s="5">
        <v>0.12684436011387001</v>
      </c>
      <c r="EH190" s="5">
        <v>-0.39686788080144197</v>
      </c>
      <c r="EI190" s="5">
        <v>0.33626818044731499</v>
      </c>
      <c r="EJ190" s="5">
        <v>-0.40303516301697301</v>
      </c>
      <c r="EK190" s="5">
        <v>0.34174829763675801</v>
      </c>
      <c r="EL190" s="5">
        <v>-0.39167799479516402</v>
      </c>
      <c r="EM190" s="5">
        <v>0.39301342401427403</v>
      </c>
      <c r="EN190" s="5">
        <v>6.7224510124558406E-2</v>
      </c>
      <c r="EO190" s="5">
        <v>-8.1136060203875995E-2</v>
      </c>
      <c r="EP190" s="5">
        <v>-0.30403916376856199</v>
      </c>
      <c r="EQ190" s="5">
        <v>0.26272555488523502</v>
      </c>
      <c r="ER190" s="5">
        <v>-0.285540723064033</v>
      </c>
      <c r="ES190" s="5">
        <v>0.19670315046046499</v>
      </c>
      <c r="ET190" s="5">
        <v>-0.30994946357233599</v>
      </c>
      <c r="EU190" s="5">
        <v>0.27921190244495903</v>
      </c>
      <c r="EV190" s="5">
        <v>-0.38735115753358901</v>
      </c>
      <c r="EW190" s="5">
        <v>0.32853106605638399</v>
      </c>
      <c r="EX190" s="5">
        <v>-0.23414454100630999</v>
      </c>
      <c r="EY190" s="5">
        <v>0.249035959752469</v>
      </c>
      <c r="EZ190" s="5">
        <v>-0.276552706208818</v>
      </c>
      <c r="FA190" s="5">
        <v>0.229570658872981</v>
      </c>
      <c r="FB190" s="5">
        <v>0.28198791455897099</v>
      </c>
      <c r="FC190" s="5">
        <v>-0.20196134522968601</v>
      </c>
      <c r="FD190" s="5">
        <v>-6.45335893458443E-2</v>
      </c>
      <c r="FE190" s="5">
        <v>-8.1804940858086206E-3</v>
      </c>
      <c r="FF190" s="5">
        <v>0.30856217445276901</v>
      </c>
      <c r="FG190" s="5">
        <v>-0.204986324619301</v>
      </c>
      <c r="FH190" s="5">
        <v>-0.27567175433872199</v>
      </c>
      <c r="FI190" s="5">
        <v>0.249357350057407</v>
      </c>
      <c r="FJ190" s="5">
        <v>-0.44474840236452401</v>
      </c>
      <c r="FK190" s="5">
        <v>0.34740478586428902</v>
      </c>
      <c r="FL190" s="5">
        <v>0.415703191977567</v>
      </c>
      <c r="FM190" s="5">
        <v>-0.226776307253232</v>
      </c>
      <c r="FN190" s="5">
        <v>-0.20745204007052701</v>
      </c>
      <c r="FO190" s="5">
        <v>0.17995897946520201</v>
      </c>
      <c r="FP190" s="5">
        <v>-0.242105780564596</v>
      </c>
      <c r="FQ190" s="5">
        <v>9.0706310751468094E-2</v>
      </c>
      <c r="FR190" s="5">
        <v>0.52076097875207805</v>
      </c>
      <c r="FS190" s="5">
        <v>-0.30622120914263001</v>
      </c>
      <c r="FT190" s="5">
        <v>-0.21580026788363901</v>
      </c>
      <c r="FU190" s="5">
        <v>9.1791043660037694E-2</v>
      </c>
      <c r="FV190" s="5">
        <v>0.22688219998630299</v>
      </c>
      <c r="FW190" s="5">
        <v>-0.18397514061533701</v>
      </c>
      <c r="FX190" s="5">
        <v>-0.16732047359372501</v>
      </c>
      <c r="FY190" s="5">
        <v>8.2308010214984406E-2</v>
      </c>
      <c r="FZ190" s="5">
        <v>-0.22520379194507401</v>
      </c>
      <c r="GA190" s="5">
        <v>0.108605869807729</v>
      </c>
      <c r="GB190" s="5">
        <v>0.30311718241653701</v>
      </c>
      <c r="GC190" s="5">
        <v>-0.22329131986676201</v>
      </c>
      <c r="GD190" s="5">
        <v>0.48844026287046599</v>
      </c>
      <c r="GE190" s="5">
        <v>-0.28425879625495698</v>
      </c>
      <c r="GF190" s="5">
        <v>-0.35947522191435599</v>
      </c>
      <c r="GG190" s="5">
        <v>0.36403365905895302</v>
      </c>
      <c r="GH190" s="5">
        <v>1</v>
      </c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</row>
    <row r="191" spans="1:389" x14ac:dyDescent="0.45">
      <c r="A191" s="4" t="str">
        <f ca="1">"KGZ / beta2dist in "&amp;CELL("address",'damages-1990'!$K$96)</f>
        <v>KGZ / beta2dist in '[BHM betas v3pd.xlsx]damages-1990'!$K$96</v>
      </c>
      <c r="B191" s="6">
        <v>8.7467933901109796E-2</v>
      </c>
      <c r="C191" s="5">
        <v>-0.16324528450202</v>
      </c>
      <c r="D191" s="5">
        <v>0.36021719019906701</v>
      </c>
      <c r="E191" s="5">
        <v>-0.52202552227771104</v>
      </c>
      <c r="F191" s="5">
        <v>1.9708994884330699E-3</v>
      </c>
      <c r="G191" s="5">
        <v>-2.3171508415207901E-3</v>
      </c>
      <c r="H191" s="5">
        <v>-0.26907420215286798</v>
      </c>
      <c r="I191" s="5">
        <v>0.31268890971048202</v>
      </c>
      <c r="J191" s="5">
        <v>0.42008225031812002</v>
      </c>
      <c r="K191" s="5">
        <v>-0.50898953686361703</v>
      </c>
      <c r="L191" s="5">
        <v>0.23716026901141701</v>
      </c>
      <c r="M191" s="5">
        <v>-0.33701061627935602</v>
      </c>
      <c r="N191" s="5">
        <v>-0.130006517210244</v>
      </c>
      <c r="O191" s="5">
        <v>0.13204134049258001</v>
      </c>
      <c r="P191" s="5">
        <v>0.204829179862445</v>
      </c>
      <c r="Q191" s="5">
        <v>-0.25468469714105102</v>
      </c>
      <c r="R191" s="5">
        <v>0.23797901809004099</v>
      </c>
      <c r="S191" s="5">
        <v>-0.34658193301558299</v>
      </c>
      <c r="T191" s="5">
        <v>-4.0898060427884998E-2</v>
      </c>
      <c r="U191" s="5">
        <v>9.2388693571768797E-4</v>
      </c>
      <c r="V191" s="5">
        <v>-5.4742144551361803E-2</v>
      </c>
      <c r="W191" s="5">
        <v>0.13154580813359501</v>
      </c>
      <c r="X191" s="5">
        <v>0.28410414781021898</v>
      </c>
      <c r="Y191" s="5">
        <v>-0.403949196899618</v>
      </c>
      <c r="Z191" s="5">
        <v>-8.7406186963910004E-2</v>
      </c>
      <c r="AA191" s="5">
        <v>5.2780932648693803E-2</v>
      </c>
      <c r="AB191" s="5">
        <v>0.33784505668207498</v>
      </c>
      <c r="AC191" s="5">
        <v>-0.50958568146390504</v>
      </c>
      <c r="AD191" s="5">
        <v>0.279120996806896</v>
      </c>
      <c r="AE191" s="5">
        <v>-0.40017835983650102</v>
      </c>
      <c r="AF191" s="5">
        <v>0.25918296186306999</v>
      </c>
      <c r="AG191" s="5">
        <v>-0.372379640219137</v>
      </c>
      <c r="AH191" s="5">
        <v>-4.3729862451085304E-3</v>
      </c>
      <c r="AI191" s="5">
        <v>-2.0893319794286201E-4</v>
      </c>
      <c r="AJ191" s="5">
        <v>0.37492868788735501</v>
      </c>
      <c r="AK191" s="5">
        <v>-0.43069833732518098</v>
      </c>
      <c r="AL191" s="5">
        <v>-9.9559741692105297E-2</v>
      </c>
      <c r="AM191" s="5">
        <v>0.12269594318393599</v>
      </c>
      <c r="AN191" s="5">
        <v>8.4779879441708606E-3</v>
      </c>
      <c r="AO191" s="5">
        <v>-2.6007584237630901E-2</v>
      </c>
      <c r="AP191" s="5">
        <v>0.10447162400517</v>
      </c>
      <c r="AQ191" s="5">
        <v>-0.184153104975295</v>
      </c>
      <c r="AR191" s="5">
        <v>0.1639662326977</v>
      </c>
      <c r="AS191" s="5">
        <v>-0.22410109858806801</v>
      </c>
      <c r="AT191" s="5">
        <v>-2.9454441118155799E-2</v>
      </c>
      <c r="AU191" s="5">
        <v>3.3083713468107699E-2</v>
      </c>
      <c r="AV191" s="5">
        <v>0.212378362492775</v>
      </c>
      <c r="AW191" s="5">
        <v>-0.31085378937143698</v>
      </c>
      <c r="AX191" s="5">
        <v>0.270786559573513</v>
      </c>
      <c r="AY191" s="5">
        <v>-0.38511650747428999</v>
      </c>
      <c r="AZ191" s="5">
        <v>0.32694822389735401</v>
      </c>
      <c r="BA191" s="5">
        <v>-0.405471450626395</v>
      </c>
      <c r="BB191" s="5">
        <v>0.31043047847924798</v>
      </c>
      <c r="BC191" s="5">
        <v>-0.44424043855182299</v>
      </c>
      <c r="BD191" s="5">
        <v>-6.1687100480750198E-2</v>
      </c>
      <c r="BE191" s="5">
        <v>6.6354483697313393E-2</v>
      </c>
      <c r="BF191" s="5">
        <v>0.224127701811214</v>
      </c>
      <c r="BG191" s="5">
        <v>-0.32931968101853198</v>
      </c>
      <c r="BH191" s="5">
        <v>0.40865302455930802</v>
      </c>
      <c r="BI191" s="5">
        <v>-0.59920760762759795</v>
      </c>
      <c r="BJ191" s="5">
        <v>-0.17074487973911301</v>
      </c>
      <c r="BK191" s="5">
        <v>0.23150779798187501</v>
      </c>
      <c r="BL191" s="5">
        <v>-6.1259081653553898E-2</v>
      </c>
      <c r="BM191" s="5">
        <v>3.8293014822971302E-2</v>
      </c>
      <c r="BN191" s="5">
        <v>-0.38973440344149701</v>
      </c>
      <c r="BO191" s="5">
        <v>0.55101935285275605</v>
      </c>
      <c r="BP191" s="5">
        <v>-0.26446622263730701</v>
      </c>
      <c r="BQ191" s="5">
        <v>0.42776488043368499</v>
      </c>
      <c r="BR191" s="5">
        <v>0.342750969173162</v>
      </c>
      <c r="BS191" s="5">
        <v>-0.50507599334688502</v>
      </c>
      <c r="BT191" s="5">
        <v>0.28844219218637202</v>
      </c>
      <c r="BU191" s="5">
        <v>-0.49924448710999397</v>
      </c>
      <c r="BV191" s="5">
        <v>0.36778025395486502</v>
      </c>
      <c r="BW191" s="5">
        <v>-0.52970403221542905</v>
      </c>
      <c r="BX191" s="5">
        <v>0.41033889278098701</v>
      </c>
      <c r="BY191" s="5">
        <v>-0.585121591478721</v>
      </c>
      <c r="BZ191" s="5">
        <v>0.47257187625893099</v>
      </c>
      <c r="CA191" s="5">
        <v>-0.59044346396838798</v>
      </c>
      <c r="CB191" s="5">
        <v>6.17574563482539E-2</v>
      </c>
      <c r="CC191" s="5">
        <v>-0.122171715723445</v>
      </c>
      <c r="CD191" s="5">
        <v>0.224580136229618</v>
      </c>
      <c r="CE191" s="5">
        <v>-0.24398891760897901</v>
      </c>
      <c r="CF191" s="5">
        <v>0.30099493958538498</v>
      </c>
      <c r="CG191" s="5">
        <v>-0.350387943877426</v>
      </c>
      <c r="CH191" s="5">
        <v>-0.16614977442384199</v>
      </c>
      <c r="CI191" s="5">
        <v>0.17596670431297901</v>
      </c>
      <c r="CJ191" s="5">
        <v>-5.7422152273850703E-2</v>
      </c>
      <c r="CK191" s="5">
        <v>7.5252002233142698E-2</v>
      </c>
      <c r="CL191" s="5">
        <v>-6.2977505989640803E-2</v>
      </c>
      <c r="CM191" s="5">
        <v>1.6118053927621001E-2</v>
      </c>
      <c r="CN191" s="5">
        <v>-7.5043968854849402E-2</v>
      </c>
      <c r="CO191" s="5">
        <v>3.9623152041438597E-2</v>
      </c>
      <c r="CP191" s="5">
        <v>0.58840587309127301</v>
      </c>
      <c r="CQ191" s="5">
        <v>-0.62391564211887496</v>
      </c>
      <c r="CR191" s="5">
        <v>0.191239933971457</v>
      </c>
      <c r="CS191" s="5">
        <v>-0.255389920870708</v>
      </c>
      <c r="CT191" s="5">
        <v>-9.3712811255478607E-3</v>
      </c>
      <c r="CU191" s="5">
        <v>-5.5932340627489197E-2</v>
      </c>
      <c r="CV191" s="5">
        <v>0.104737267269505</v>
      </c>
      <c r="CW191" s="5">
        <v>-0.15412422519647401</v>
      </c>
      <c r="CX191" s="5">
        <v>0.330930568056582</v>
      </c>
      <c r="CY191" s="5">
        <v>-0.42364743041379099</v>
      </c>
      <c r="CZ191" s="5">
        <v>0.39081449808216001</v>
      </c>
      <c r="DA191" s="5">
        <v>-0.46883720786852701</v>
      </c>
      <c r="DB191" s="5">
        <v>0.20931627782822401</v>
      </c>
      <c r="DC191" s="5">
        <v>-0.19711997132372699</v>
      </c>
      <c r="DD191" s="5">
        <v>0.43903243388684399</v>
      </c>
      <c r="DE191" s="5">
        <v>-0.50514538956652799</v>
      </c>
      <c r="DF191" s="5">
        <v>0.34894403994295198</v>
      </c>
      <c r="DG191" s="5">
        <v>-0.44002246831421499</v>
      </c>
      <c r="DH191" s="5">
        <v>6.9607528628068904E-2</v>
      </c>
      <c r="DI191" s="5">
        <v>-0.124574544363659</v>
      </c>
      <c r="DJ191" s="5">
        <v>4.8130651154521899E-2</v>
      </c>
      <c r="DK191" s="5">
        <v>-0.11570964235105</v>
      </c>
      <c r="DL191" s="5">
        <v>0.40328832728487102</v>
      </c>
      <c r="DM191" s="5">
        <v>-0.55344135820107299</v>
      </c>
      <c r="DN191" s="5">
        <v>4.59720448081325E-3</v>
      </c>
      <c r="DO191" s="5">
        <v>-7.4230048059031994E-2</v>
      </c>
      <c r="DP191" s="5">
        <v>0.13954716615823001</v>
      </c>
      <c r="DQ191" s="5">
        <v>-0.19502711996423699</v>
      </c>
      <c r="DR191" s="5">
        <v>-7.2985503660767906E-2</v>
      </c>
      <c r="DS191" s="5">
        <v>6.3004098814209195E-2</v>
      </c>
      <c r="DT191" s="5">
        <v>0.45458069729570599</v>
      </c>
      <c r="DU191" s="5">
        <v>-0.50030704170588103</v>
      </c>
      <c r="DV191" s="5">
        <v>0.35465220151490201</v>
      </c>
      <c r="DW191" s="5">
        <v>-0.50447599573666801</v>
      </c>
      <c r="DX191" s="5">
        <v>-0.106603479233596</v>
      </c>
      <c r="DY191" s="5">
        <v>3.9999062126371103E-2</v>
      </c>
      <c r="DZ191" s="5">
        <v>-1.8703763194848101E-2</v>
      </c>
      <c r="EA191" s="5">
        <v>-3.9289553112375801E-2</v>
      </c>
      <c r="EB191" s="5">
        <v>0.391132423511723</v>
      </c>
      <c r="EC191" s="5">
        <v>-0.52950828063358601</v>
      </c>
      <c r="ED191" s="5">
        <v>0.43825223283065701</v>
      </c>
      <c r="EE191" s="5">
        <v>-0.57573406537020899</v>
      </c>
      <c r="EF191" s="5">
        <v>0.20206141103215799</v>
      </c>
      <c r="EG191" s="5">
        <v>-0.254708270317554</v>
      </c>
      <c r="EH191" s="5">
        <v>0.38151864177711298</v>
      </c>
      <c r="EI191" s="5">
        <v>-0.50167240969084304</v>
      </c>
      <c r="EJ191" s="5">
        <v>0.41205553786635302</v>
      </c>
      <c r="EK191" s="5">
        <v>-0.52829968914484804</v>
      </c>
      <c r="EL191" s="5">
        <v>0.33700030513805401</v>
      </c>
      <c r="EM191" s="5">
        <v>-0.50815774998704499</v>
      </c>
      <c r="EN191" s="5">
        <v>3.7402025874994201E-2</v>
      </c>
      <c r="EO191" s="5">
        <v>-6.1669824619297996E-3</v>
      </c>
      <c r="EP191" s="5">
        <v>0.31519848836543501</v>
      </c>
      <c r="EQ191" s="5">
        <v>-0.39355877840565201</v>
      </c>
      <c r="ER191" s="5">
        <v>0.20342815764813699</v>
      </c>
      <c r="ES191" s="5">
        <v>-0.25917827254829401</v>
      </c>
      <c r="ET191" s="5">
        <v>0.19070041395013301</v>
      </c>
      <c r="EU191" s="5">
        <v>-0.33657250869403799</v>
      </c>
      <c r="EV191" s="5">
        <v>0.31076114965919499</v>
      </c>
      <c r="EW191" s="5">
        <v>-0.44396291108370001</v>
      </c>
      <c r="EX191" s="5">
        <v>0.110502011623139</v>
      </c>
      <c r="EY191" s="5">
        <v>-0.258298924498017</v>
      </c>
      <c r="EZ191" s="5">
        <v>0.18742787653268</v>
      </c>
      <c r="FA191" s="5">
        <v>-0.30387636183063998</v>
      </c>
      <c r="FB191" s="5">
        <v>1.3493966194267199E-2</v>
      </c>
      <c r="FC191" s="5">
        <v>-2.9556272072502401E-2</v>
      </c>
      <c r="FD191" s="5">
        <v>-1.9525250666898801E-2</v>
      </c>
      <c r="FE191" s="5">
        <v>-2.8513161526584601E-2</v>
      </c>
      <c r="FF191" s="5">
        <v>5.7272503141815199E-4</v>
      </c>
      <c r="FG191" s="5">
        <v>-2.1822018623765999E-2</v>
      </c>
      <c r="FH191" s="5">
        <v>9.6186765135909902E-2</v>
      </c>
      <c r="FI191" s="5">
        <v>-0.20146098276428401</v>
      </c>
      <c r="FJ191" s="5">
        <v>0.44068669884953299</v>
      </c>
      <c r="FK191" s="5">
        <v>-0.522275165983629</v>
      </c>
      <c r="FL191" s="5">
        <v>-0.15197363438473299</v>
      </c>
      <c r="FM191" s="5">
        <v>0.10039210192016999</v>
      </c>
      <c r="FN191" s="5">
        <v>0.29986443758561698</v>
      </c>
      <c r="FO191" s="5">
        <v>-0.36535272180394102</v>
      </c>
      <c r="FP191" s="5">
        <v>0.19916955056875901</v>
      </c>
      <c r="FQ191" s="5">
        <v>-0.183845451123609</v>
      </c>
      <c r="FR191" s="5">
        <v>-0.460542970224881</v>
      </c>
      <c r="FS191" s="5">
        <v>0.38224948079474302</v>
      </c>
      <c r="FT191" s="5">
        <v>0.206998659765885</v>
      </c>
      <c r="FU191" s="5">
        <v>-0.210322997463564</v>
      </c>
      <c r="FV191" s="5">
        <v>2.8163419695900398E-2</v>
      </c>
      <c r="FW191" s="5">
        <v>-6.6826577451128202E-2</v>
      </c>
      <c r="FX191" s="5">
        <v>6.93039025068269E-2</v>
      </c>
      <c r="FY191" s="5">
        <v>-0.101698970296819</v>
      </c>
      <c r="FZ191" s="5">
        <v>0.23026909991104</v>
      </c>
      <c r="GA191" s="5">
        <v>-0.246439359547375</v>
      </c>
      <c r="GB191" s="5">
        <v>2.4732865686412999E-2</v>
      </c>
      <c r="GC191" s="5">
        <v>-6.9552783970917798E-2</v>
      </c>
      <c r="GD191" s="5">
        <v>-0.215462047123928</v>
      </c>
      <c r="GE191" s="5">
        <v>0.15974865293507701</v>
      </c>
      <c r="GF191" s="5">
        <v>0.32837962145424898</v>
      </c>
      <c r="GG191" s="5">
        <v>-0.528581012287338</v>
      </c>
      <c r="GH191" s="5">
        <v>-0.86625001409984104</v>
      </c>
      <c r="GI191" s="5">
        <v>1</v>
      </c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</row>
    <row r="192" spans="1:389" x14ac:dyDescent="0.45">
      <c r="A192" s="4" t="str">
        <f ca="1">"KHM / beta1dist in "&amp;CELL("address",'damages-1990'!$J$97)</f>
        <v>KHM / beta1dist in '[BHM betas v3pd.xlsx]damages-1990'!$J$97</v>
      </c>
      <c r="B192" s="6">
        <v>0.11902830816403</v>
      </c>
      <c r="C192" s="5">
        <v>0.292971240080174</v>
      </c>
      <c r="D192" s="5">
        <v>0.54762039925319905</v>
      </c>
      <c r="E192" s="5">
        <v>-0.15038446117740101</v>
      </c>
      <c r="F192" s="5">
        <v>4.2480605966680102E-2</v>
      </c>
      <c r="G192" s="5">
        <v>0.234873301001677</v>
      </c>
      <c r="H192" s="5">
        <v>-0.36953701664014699</v>
      </c>
      <c r="I192" s="5">
        <v>0.30832398950061302</v>
      </c>
      <c r="J192" s="5">
        <v>0.43215311033861398</v>
      </c>
      <c r="K192" s="5">
        <v>1.1105783730095299E-2</v>
      </c>
      <c r="L192" s="5">
        <v>0.34266292279490002</v>
      </c>
      <c r="M192" s="5">
        <v>-1.46522480282532E-2</v>
      </c>
      <c r="N192" s="5">
        <v>8.8967053653400893E-2</v>
      </c>
      <c r="O192" s="5">
        <v>-0.16405718002238201</v>
      </c>
      <c r="P192" s="5">
        <v>0.40549070478201699</v>
      </c>
      <c r="Q192" s="5">
        <v>-0.15808804617717601</v>
      </c>
      <c r="R192" s="5">
        <v>0.414780795175476</v>
      </c>
      <c r="S192" s="5">
        <v>1.2084050558096599E-2</v>
      </c>
      <c r="T192" s="5">
        <v>-0.114781951577171</v>
      </c>
      <c r="U192" s="5">
        <v>9.2049737429523298E-2</v>
      </c>
      <c r="V192" s="5">
        <v>0.11890133932125301</v>
      </c>
      <c r="W192" s="5">
        <v>0.27339818976953301</v>
      </c>
      <c r="X192" s="5">
        <v>0.45345576057356402</v>
      </c>
      <c r="Y192" s="5">
        <v>-5.5247010489964499E-2</v>
      </c>
      <c r="Z192" s="5">
        <v>-8.4837006162174405E-2</v>
      </c>
      <c r="AA192" s="5">
        <v>0.161788748745779</v>
      </c>
      <c r="AB192" s="5">
        <v>0.59970715682291698</v>
      </c>
      <c r="AC192" s="5">
        <v>-0.34750780277604398</v>
      </c>
      <c r="AD192" s="5">
        <v>0.470653912254624</v>
      </c>
      <c r="AE192" s="5">
        <v>-0.18750120936346901</v>
      </c>
      <c r="AF192" s="5">
        <v>0.499291912306698</v>
      </c>
      <c r="AG192" s="5">
        <v>-0.14898319301018001</v>
      </c>
      <c r="AH192" s="5">
        <v>3.58668759598499E-2</v>
      </c>
      <c r="AI192" s="5">
        <v>0.16996289256942401</v>
      </c>
      <c r="AJ192" s="5">
        <v>0.35976061948320198</v>
      </c>
      <c r="AK192" s="5">
        <v>8.0500587025572695E-2</v>
      </c>
      <c r="AL192" s="5">
        <v>0.50567898801747202</v>
      </c>
      <c r="AM192" s="5">
        <v>-0.32020147535947202</v>
      </c>
      <c r="AN192" s="5">
        <v>-5.0338455802101501E-2</v>
      </c>
      <c r="AO192" s="5">
        <v>0.14927280414320501</v>
      </c>
      <c r="AP192" s="5">
        <v>-0.22600861882047099</v>
      </c>
      <c r="AQ192" s="5">
        <v>0.23237598544753901</v>
      </c>
      <c r="AR192" s="5">
        <v>0.61574929688082003</v>
      </c>
      <c r="AS192" s="5">
        <v>-0.34871237125349203</v>
      </c>
      <c r="AT192" s="5">
        <v>0.37682631673566203</v>
      </c>
      <c r="AU192" s="5">
        <v>-0.19672561361140001</v>
      </c>
      <c r="AV192" s="5">
        <v>0.67419766262635406</v>
      </c>
      <c r="AW192" s="5">
        <v>-0.334373066250018</v>
      </c>
      <c r="AX192" s="5">
        <v>0.67740588882146402</v>
      </c>
      <c r="AY192" s="5">
        <v>-0.333697215670129</v>
      </c>
      <c r="AZ192" s="5">
        <v>0.48499828122326799</v>
      </c>
      <c r="BA192" s="5">
        <v>-0.23674080443463599</v>
      </c>
      <c r="BB192" s="5">
        <v>0.47859519230065001</v>
      </c>
      <c r="BC192" s="5">
        <v>-6.0034441481841498E-2</v>
      </c>
      <c r="BD192" s="5">
        <v>-1.9893040767064801E-2</v>
      </c>
      <c r="BE192" s="5">
        <v>0.39788011987080402</v>
      </c>
      <c r="BF192" s="5">
        <v>0.54231065438498105</v>
      </c>
      <c r="BG192" s="5">
        <v>-0.19154618309535201</v>
      </c>
      <c r="BH192" s="5">
        <v>0.62306177162947196</v>
      </c>
      <c r="BI192" s="5">
        <v>-0.27109461557345499</v>
      </c>
      <c r="BJ192" s="5">
        <v>-0.37149940965274902</v>
      </c>
      <c r="BK192" s="5">
        <v>0.203381132981834</v>
      </c>
      <c r="BL192" s="5">
        <v>-0.14932748443411201</v>
      </c>
      <c r="BM192" s="5">
        <v>8.7416538988279099E-2</v>
      </c>
      <c r="BN192" s="5">
        <v>-0.21712251829391599</v>
      </c>
      <c r="BO192" s="5">
        <v>0.29757223159979801</v>
      </c>
      <c r="BP192" s="5">
        <v>-0.31448035537355701</v>
      </c>
      <c r="BQ192" s="5">
        <v>0.45355922489653999</v>
      </c>
      <c r="BR192" s="5">
        <v>0.41436204250839398</v>
      </c>
      <c r="BS192" s="5">
        <v>-0.16278373395017701</v>
      </c>
      <c r="BT192" s="5">
        <v>0.633699020731191</v>
      </c>
      <c r="BU192" s="5">
        <v>-0.28791389763999697</v>
      </c>
      <c r="BV192" s="5">
        <v>0.50238447336685199</v>
      </c>
      <c r="BW192" s="5">
        <v>-0.118176760437949</v>
      </c>
      <c r="BX192" s="5">
        <v>0.47744739910103301</v>
      </c>
      <c r="BY192" s="5">
        <v>-0.16612868827581601</v>
      </c>
      <c r="BZ192" s="5">
        <v>0.60414031881138697</v>
      </c>
      <c r="CA192" s="5">
        <v>-0.27710138290948</v>
      </c>
      <c r="CB192" s="5">
        <v>0.46855784104373199</v>
      </c>
      <c r="CC192" s="5">
        <v>-0.20430686638537801</v>
      </c>
      <c r="CD192" s="5">
        <v>0.28683697534656699</v>
      </c>
      <c r="CE192" s="5">
        <v>-2.8260761328442501E-2</v>
      </c>
      <c r="CF192" s="5">
        <v>0.66199696635569405</v>
      </c>
      <c r="CG192" s="5">
        <v>-0.39995280267804201</v>
      </c>
      <c r="CH192" s="5">
        <v>0.46552217942813601</v>
      </c>
      <c r="CI192" s="5">
        <v>-0.33886884807178502</v>
      </c>
      <c r="CJ192" s="5">
        <v>9.7774732529183006E-2</v>
      </c>
      <c r="CK192" s="5">
        <v>0.20114311301303001</v>
      </c>
      <c r="CL192" s="5">
        <v>-9.6891758094126298E-2</v>
      </c>
      <c r="CM192" s="5">
        <v>0.12167421799972999</v>
      </c>
      <c r="CN192" s="5">
        <v>-0.111479796553953</v>
      </c>
      <c r="CO192" s="5">
        <v>0.16345468771857699</v>
      </c>
      <c r="CP192" s="5">
        <v>0.34426238818995902</v>
      </c>
      <c r="CQ192" s="5">
        <v>-5.6062514923272598E-2</v>
      </c>
      <c r="CR192" s="5">
        <v>0.37922872012759301</v>
      </c>
      <c r="CS192" s="5">
        <v>-0.115333806355885</v>
      </c>
      <c r="CT192" s="5">
        <v>-0.12658520574309301</v>
      </c>
      <c r="CU192" s="5">
        <v>0.12581473468889701</v>
      </c>
      <c r="CV192" s="5">
        <v>0.32930426875040503</v>
      </c>
      <c r="CW192" s="5">
        <v>-7.0786570752541494E-2</v>
      </c>
      <c r="CX192" s="5">
        <v>0.51252031898624795</v>
      </c>
      <c r="CY192" s="5">
        <v>-0.15040624713828901</v>
      </c>
      <c r="CZ192" s="5">
        <v>0.63411062330548595</v>
      </c>
      <c r="DA192" s="5">
        <v>-0.34010254999960399</v>
      </c>
      <c r="DB192" s="5">
        <v>0.36833222197544402</v>
      </c>
      <c r="DC192" s="5">
        <v>0.125796666816261</v>
      </c>
      <c r="DD192" s="5">
        <v>0.35738283660985098</v>
      </c>
      <c r="DE192" s="5">
        <v>-4.3885882480861803E-2</v>
      </c>
      <c r="DF192" s="5">
        <v>0.45621545826100202</v>
      </c>
      <c r="DG192" s="5">
        <v>-0.13478916737930999</v>
      </c>
      <c r="DH192" s="5">
        <v>0.21014984738843401</v>
      </c>
      <c r="DI192" s="5">
        <v>0.12953342093888001</v>
      </c>
      <c r="DJ192" s="5">
        <v>-0.26990713461816501</v>
      </c>
      <c r="DK192" s="5">
        <v>0.25842492667779898</v>
      </c>
      <c r="DL192" s="5">
        <v>0.47629131939075797</v>
      </c>
      <c r="DM192" s="5">
        <v>-0.100496466105542</v>
      </c>
      <c r="DN192" s="5">
        <v>-0.359811330411684</v>
      </c>
      <c r="DO192" s="5">
        <v>0.31698421012073802</v>
      </c>
      <c r="DP192" s="5">
        <v>0.31438031547020601</v>
      </c>
      <c r="DQ192" s="5">
        <v>-7.7509448990962404E-2</v>
      </c>
      <c r="DR192" s="5">
        <v>-2.41872748515638E-2</v>
      </c>
      <c r="DS192" s="5">
        <v>0.204139655126931</v>
      </c>
      <c r="DT192" s="5">
        <v>0.28451977480784602</v>
      </c>
      <c r="DU192" s="5">
        <v>-0.106951492254756</v>
      </c>
      <c r="DV192" s="5">
        <v>0.36000681433711301</v>
      </c>
      <c r="DW192" s="5">
        <v>-0.109712611629003</v>
      </c>
      <c r="DX192" s="5">
        <v>-0.27120151532487702</v>
      </c>
      <c r="DY192" s="5">
        <v>0.30176086334633501</v>
      </c>
      <c r="DZ192" s="5">
        <v>0.107818323681081</v>
      </c>
      <c r="EA192" s="5">
        <v>-0.182292317502837</v>
      </c>
      <c r="EB192" s="5">
        <v>0.58853810952051799</v>
      </c>
      <c r="EC192" s="5">
        <v>-0.28322798926166398</v>
      </c>
      <c r="ED192" s="5">
        <v>0.47601917783042502</v>
      </c>
      <c r="EE192" s="5">
        <v>-0.136262441731516</v>
      </c>
      <c r="EF192" s="5">
        <v>0.36511289569389899</v>
      </c>
      <c r="EG192" s="5">
        <v>-0.118524087497656</v>
      </c>
      <c r="EH192" s="5">
        <v>0.510555248232889</v>
      </c>
      <c r="EI192" s="5">
        <v>-0.15798769118366701</v>
      </c>
      <c r="EJ192" s="5">
        <v>0.479974357690169</v>
      </c>
      <c r="EK192" s="5">
        <v>-0.122106418042462</v>
      </c>
      <c r="EL192" s="5">
        <v>0.66778540526978203</v>
      </c>
      <c r="EM192" s="5">
        <v>-0.39231325965555303</v>
      </c>
      <c r="EN192" s="5">
        <v>0.13072545611771999</v>
      </c>
      <c r="EO192" s="5">
        <v>0.16882143675390099</v>
      </c>
      <c r="EP192" s="5">
        <v>0.45652109123006401</v>
      </c>
      <c r="EQ192" s="5">
        <v>-0.192610022412812</v>
      </c>
      <c r="ER192" s="5">
        <v>0.56323977203720399</v>
      </c>
      <c r="ES192" s="5">
        <v>-0.23991359617441399</v>
      </c>
      <c r="ET192" s="5">
        <v>0.64738952743101297</v>
      </c>
      <c r="EU192" s="5">
        <v>-0.38166489016768601</v>
      </c>
      <c r="EV192" s="5">
        <v>0.606069764627439</v>
      </c>
      <c r="EW192" s="5">
        <v>-0.29047089250814201</v>
      </c>
      <c r="EX192" s="5">
        <v>0.63217793940201505</v>
      </c>
      <c r="EY192" s="5">
        <v>-0.42424812976580101</v>
      </c>
      <c r="EZ192" s="5">
        <v>0.603633009070906</v>
      </c>
      <c r="FA192" s="5">
        <v>-0.270017832009669</v>
      </c>
      <c r="FB192" s="5">
        <v>7.8314320457089096E-2</v>
      </c>
      <c r="FC192" s="5">
        <v>0.10315824820953499</v>
      </c>
      <c r="FD192" s="5">
        <v>0.37752311182597198</v>
      </c>
      <c r="FE192" s="5">
        <v>-0.124852726297004</v>
      </c>
      <c r="FF192" s="5">
        <v>3.5378127504827203E-2</v>
      </c>
      <c r="FG192" s="5">
        <v>0.105291995757859</v>
      </c>
      <c r="FH192" s="5">
        <v>0.59363833047134895</v>
      </c>
      <c r="FI192" s="5">
        <v>-0.35076419783325102</v>
      </c>
      <c r="FJ192" s="5">
        <v>0.477830852984305</v>
      </c>
      <c r="FK192" s="5">
        <v>-3.0148915941389E-2</v>
      </c>
      <c r="FL192" s="5">
        <v>-0.30253798362524997</v>
      </c>
      <c r="FM192" s="5">
        <v>0.33793517128634798</v>
      </c>
      <c r="FN192" s="5">
        <v>0.25677335239583499</v>
      </c>
      <c r="FO192" s="5">
        <v>0.16634364385412201</v>
      </c>
      <c r="FP192" s="5">
        <v>0.285748986946676</v>
      </c>
      <c r="FQ192" s="5">
        <v>0.15264771759493501</v>
      </c>
      <c r="FR192" s="5">
        <v>-0.29354800155921301</v>
      </c>
      <c r="FS192" s="5">
        <v>0.22182578527431199</v>
      </c>
      <c r="FT192" s="5">
        <v>0.31258974709431298</v>
      </c>
      <c r="FU192" s="5">
        <v>0.176465866178102</v>
      </c>
      <c r="FV192" s="5">
        <v>0.16147217824162</v>
      </c>
      <c r="FW192" s="5">
        <v>0.10021333442021201</v>
      </c>
      <c r="FX192" s="5">
        <v>0.57924657517109301</v>
      </c>
      <c r="FY192" s="5">
        <v>-0.33716835279992102</v>
      </c>
      <c r="FZ192" s="5">
        <v>0.35352537388017602</v>
      </c>
      <c r="GA192" s="5">
        <v>0.168174421204389</v>
      </c>
      <c r="GB192" s="5">
        <v>2.4913724420623398E-3</v>
      </c>
      <c r="GC192" s="5">
        <v>0.248568191638319</v>
      </c>
      <c r="GD192" s="5">
        <v>-0.25955483544450503</v>
      </c>
      <c r="GE192" s="5">
        <v>0.22834321118470299</v>
      </c>
      <c r="GF192" s="5">
        <v>0.41058027591784002</v>
      </c>
      <c r="GG192" s="5">
        <v>-5.7868923958685002E-2</v>
      </c>
      <c r="GH192" s="5">
        <v>-0.40062535598414001</v>
      </c>
      <c r="GI192" s="5">
        <v>0.25435788487302802</v>
      </c>
      <c r="GJ192" s="5">
        <v>1</v>
      </c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</row>
    <row r="193" spans="1:389" x14ac:dyDescent="0.45">
      <c r="A193" s="4" t="str">
        <f ca="1">"KHM / beta2dist in "&amp;CELL("address",'damages-1990'!$K$97)</f>
        <v>KHM / beta2dist in '[BHM betas v3pd.xlsx]damages-1990'!$K$97</v>
      </c>
      <c r="B193" s="6">
        <v>-3.1416156202503299E-2</v>
      </c>
      <c r="C193" s="5">
        <v>-5.8081035390559602E-2</v>
      </c>
      <c r="D193" s="5">
        <v>-0.35510323465278998</v>
      </c>
      <c r="E193" s="5">
        <v>0.37377820709625598</v>
      </c>
      <c r="F193" s="5">
        <v>-8.2228354705086903E-5</v>
      </c>
      <c r="G193" s="5">
        <v>-6.9282134649940194E-2</v>
      </c>
      <c r="H193" s="5">
        <v>0.26024061215274702</v>
      </c>
      <c r="I193" s="5">
        <v>-0.28406255660247398</v>
      </c>
      <c r="J193" s="5">
        <v>-0.23154011043463901</v>
      </c>
      <c r="K193" s="5">
        <v>0.16487729815855401</v>
      </c>
      <c r="L193" s="5">
        <v>-0.141468543710279</v>
      </c>
      <c r="M193" s="5">
        <v>0.11901468527383099</v>
      </c>
      <c r="N193" s="5">
        <v>-0.159650304327485</v>
      </c>
      <c r="O193" s="5">
        <v>0.216277323952137</v>
      </c>
      <c r="P193" s="5">
        <v>-0.44470660632484699</v>
      </c>
      <c r="Q193" s="5">
        <v>0.405854458742262</v>
      </c>
      <c r="R193" s="5">
        <v>-0.205264070271096</v>
      </c>
      <c r="S193" s="5">
        <v>0.18029877557315399</v>
      </c>
      <c r="T193" s="5">
        <v>-1.6363719259239601E-2</v>
      </c>
      <c r="U193" s="5">
        <v>2.3231413529320202E-2</v>
      </c>
      <c r="V193" s="5">
        <v>4.8312977119000802E-2</v>
      </c>
      <c r="W193" s="5">
        <v>-0.19691899602680499</v>
      </c>
      <c r="X193" s="5">
        <v>-0.300777263362768</v>
      </c>
      <c r="Y193" s="5">
        <v>0.29168908364266599</v>
      </c>
      <c r="Z193" s="5">
        <v>2.6040615260100302E-3</v>
      </c>
      <c r="AA193" s="5">
        <v>-4.3162717499368296E-3</v>
      </c>
      <c r="AB193" s="5">
        <v>-0.50779891947316702</v>
      </c>
      <c r="AC193" s="5">
        <v>0.60511130050812301</v>
      </c>
      <c r="AD193" s="5">
        <v>-0.39324914053747201</v>
      </c>
      <c r="AE193" s="5">
        <v>0.456254612020491</v>
      </c>
      <c r="AF193" s="5">
        <v>-0.25352330830353598</v>
      </c>
      <c r="AG193" s="5">
        <v>0.22291989704255599</v>
      </c>
      <c r="AH193" s="5">
        <v>-1.5325663923843101E-2</v>
      </c>
      <c r="AI193" s="5">
        <v>-2.9838765018627499E-2</v>
      </c>
      <c r="AJ193" s="5">
        <v>-0.176309889806578</v>
      </c>
      <c r="AK193" s="5">
        <v>8.5188420533593504E-2</v>
      </c>
      <c r="AL193" s="5">
        <v>-0.27626600456891798</v>
      </c>
      <c r="AM193" s="5">
        <v>0.292523780341927</v>
      </c>
      <c r="AN193" s="5">
        <v>-1.27569340608184E-2</v>
      </c>
      <c r="AO193" s="5">
        <v>-4.9471795934769398E-3</v>
      </c>
      <c r="AP193" s="5">
        <v>6.09336010577246E-2</v>
      </c>
      <c r="AQ193" s="5">
        <v>-6.2311732467833301E-2</v>
      </c>
      <c r="AR193" s="5">
        <v>-0.394207435710831</v>
      </c>
      <c r="AS193" s="5">
        <v>0.446849877980112</v>
      </c>
      <c r="AT193" s="5">
        <v>-0.13466917644918899</v>
      </c>
      <c r="AU193" s="5">
        <v>0.13970839906055599</v>
      </c>
      <c r="AV193" s="5">
        <v>-0.41602756547025799</v>
      </c>
      <c r="AW193" s="5">
        <v>0.50538192443355701</v>
      </c>
      <c r="AX193" s="5">
        <v>-0.42094437608491297</v>
      </c>
      <c r="AY193" s="5">
        <v>0.50267080873080705</v>
      </c>
      <c r="AZ193" s="5">
        <v>-0.45917225525250899</v>
      </c>
      <c r="BA193" s="5">
        <v>0.42557456463660098</v>
      </c>
      <c r="BB193" s="5">
        <v>-0.24932459676188301</v>
      </c>
      <c r="BC193" s="5">
        <v>0.22412749213618799</v>
      </c>
      <c r="BD193" s="5">
        <v>9.4691183459948997E-3</v>
      </c>
      <c r="BE193" s="5">
        <v>-0.10514235977021</v>
      </c>
      <c r="BF193" s="5">
        <v>-0.37897006569958303</v>
      </c>
      <c r="BG193" s="5">
        <v>0.35621541756091002</v>
      </c>
      <c r="BH193" s="5">
        <v>-0.44786749967518702</v>
      </c>
      <c r="BI193" s="5">
        <v>0.51034532955666401</v>
      </c>
      <c r="BJ193" s="5">
        <v>0.13684454452236799</v>
      </c>
      <c r="BK193" s="5">
        <v>-0.17927998786332</v>
      </c>
      <c r="BL193" s="5">
        <v>-4.5114193040683302E-4</v>
      </c>
      <c r="BM193" s="5">
        <v>1.34959026082809E-2</v>
      </c>
      <c r="BN193" s="5">
        <v>0.15775563806832199</v>
      </c>
      <c r="BO193" s="5">
        <v>-0.23093036243428899</v>
      </c>
      <c r="BP193" s="5">
        <v>0.202183440128401</v>
      </c>
      <c r="BQ193" s="5">
        <v>-0.34882679268219002</v>
      </c>
      <c r="BR193" s="5">
        <v>-0.396808617253601</v>
      </c>
      <c r="BS193" s="5">
        <v>0.47960510115379401</v>
      </c>
      <c r="BT193" s="5">
        <v>-0.43932119754333498</v>
      </c>
      <c r="BU193" s="5">
        <v>0.53346171868014902</v>
      </c>
      <c r="BV193" s="5">
        <v>-0.33277913008252602</v>
      </c>
      <c r="BW193" s="5">
        <v>0.367828216859937</v>
      </c>
      <c r="BX193" s="5">
        <v>-0.346044987208596</v>
      </c>
      <c r="BY193" s="5">
        <v>0.42302472723492501</v>
      </c>
      <c r="BZ193" s="5">
        <v>-0.45764143449176498</v>
      </c>
      <c r="CA193" s="5">
        <v>0.51504797606572705</v>
      </c>
      <c r="CB193" s="5">
        <v>-0.32412062985432899</v>
      </c>
      <c r="CC193" s="5">
        <v>0.34211606934823102</v>
      </c>
      <c r="CD193" s="5">
        <v>-0.177918662655767</v>
      </c>
      <c r="CE193" s="5">
        <v>0.13276116982704</v>
      </c>
      <c r="CF193" s="5">
        <v>-0.57340144937736204</v>
      </c>
      <c r="CG193" s="5">
        <v>0.58540659381108595</v>
      </c>
      <c r="CH193" s="5">
        <v>-0.227193466230727</v>
      </c>
      <c r="CI193" s="5">
        <v>0.29256485681519201</v>
      </c>
      <c r="CJ193" s="5">
        <v>7.8663251817077701E-2</v>
      </c>
      <c r="CK193" s="5">
        <v>-0.160303141281261</v>
      </c>
      <c r="CL193" s="5">
        <v>4.6515216400697598E-3</v>
      </c>
      <c r="CM193" s="5">
        <v>-9.3638228634100196E-3</v>
      </c>
      <c r="CN193" s="5">
        <v>1.54405053419941E-2</v>
      </c>
      <c r="CO193" s="5">
        <v>-2.55950333230709E-2</v>
      </c>
      <c r="CP193" s="5">
        <v>-0.32285237589502302</v>
      </c>
      <c r="CQ193" s="5">
        <v>0.29269463753651298</v>
      </c>
      <c r="CR193" s="5">
        <v>-0.37535650812594901</v>
      </c>
      <c r="CS193" s="5">
        <v>0.33490946013485501</v>
      </c>
      <c r="CT193" s="5">
        <v>-1.4964955005059399E-2</v>
      </c>
      <c r="CU193" s="5">
        <v>2.6529946916148801E-2</v>
      </c>
      <c r="CV193" s="5">
        <v>-0.281905387472414</v>
      </c>
      <c r="CW193" s="5">
        <v>0.26769812300242102</v>
      </c>
      <c r="CX193" s="5">
        <v>-0.37180820889055899</v>
      </c>
      <c r="CY193" s="5">
        <v>0.39507682422712098</v>
      </c>
      <c r="CZ193" s="5">
        <v>-0.51230118466052899</v>
      </c>
      <c r="DA193" s="5">
        <v>0.57001910618962304</v>
      </c>
      <c r="DB193" s="5">
        <v>-0.17310738424715999</v>
      </c>
      <c r="DC193" s="5">
        <v>5.0233848744640902E-2</v>
      </c>
      <c r="DD193" s="5">
        <v>-0.27522317843779398</v>
      </c>
      <c r="DE193" s="5">
        <v>0.277632786451536</v>
      </c>
      <c r="DF193" s="5">
        <v>-0.277149772681759</v>
      </c>
      <c r="DG193" s="5">
        <v>0.27610282550959397</v>
      </c>
      <c r="DH193" s="5">
        <v>-0.146811822036957</v>
      </c>
      <c r="DI193" s="5">
        <v>0.11170637391907701</v>
      </c>
      <c r="DJ193" s="5">
        <v>6.7865908454668597E-2</v>
      </c>
      <c r="DK193" s="5">
        <v>-7.9775516704028396E-2</v>
      </c>
      <c r="DL193" s="5">
        <v>-0.33428502947524502</v>
      </c>
      <c r="DM193" s="5">
        <v>0.35126156001887698</v>
      </c>
      <c r="DN193" s="5">
        <v>0.130028620341888</v>
      </c>
      <c r="DO193" s="5">
        <v>-0.17085362795223599</v>
      </c>
      <c r="DP193" s="5">
        <v>-1.85868427118491E-2</v>
      </c>
      <c r="DQ193" s="5">
        <v>1.64387346810555E-2</v>
      </c>
      <c r="DR193" s="5">
        <v>-3.15140498301299E-3</v>
      </c>
      <c r="DS193" s="5">
        <v>-1.60053716108347E-2</v>
      </c>
      <c r="DT193" s="5">
        <v>-0.21338152542143499</v>
      </c>
      <c r="DU193" s="5">
        <v>0.21785068106647801</v>
      </c>
      <c r="DV193" s="5">
        <v>-0.31146009114164902</v>
      </c>
      <c r="DW193" s="5">
        <v>0.38747177735326499</v>
      </c>
      <c r="DX193" s="5">
        <v>0.14915551973307201</v>
      </c>
      <c r="DY193" s="5">
        <v>-0.158740881471616</v>
      </c>
      <c r="DZ193" s="5">
        <v>-0.19565577813899901</v>
      </c>
      <c r="EA193" s="5">
        <v>0.29678241950900203</v>
      </c>
      <c r="EB193" s="5">
        <v>-0.52639514795669895</v>
      </c>
      <c r="EC193" s="5">
        <v>0.57796382585371497</v>
      </c>
      <c r="ED193" s="5">
        <v>-0.39466616026044898</v>
      </c>
      <c r="EE193" s="5">
        <v>0.42685207835900602</v>
      </c>
      <c r="EF193" s="5">
        <v>-0.393121368364173</v>
      </c>
      <c r="EG193" s="5">
        <v>0.35153873782158301</v>
      </c>
      <c r="EH193" s="5">
        <v>-0.32582357539607498</v>
      </c>
      <c r="EI193" s="5">
        <v>0.36511246054594299</v>
      </c>
      <c r="EJ193" s="5">
        <v>-0.32262571005427199</v>
      </c>
      <c r="EK193" s="5">
        <v>0.358518690968047</v>
      </c>
      <c r="EL193" s="5">
        <v>-0.48214032262817802</v>
      </c>
      <c r="EM193" s="5">
        <v>0.580868909903413</v>
      </c>
      <c r="EN193" s="5">
        <v>2.2903401538838599E-2</v>
      </c>
      <c r="EO193" s="5">
        <v>-0.105671809760972</v>
      </c>
      <c r="EP193" s="5">
        <v>-0.41614439884879301</v>
      </c>
      <c r="EQ193" s="5">
        <v>0.38242943790192402</v>
      </c>
      <c r="ER193" s="5">
        <v>-0.337842109090361</v>
      </c>
      <c r="ES193" s="5">
        <v>0.37064679454913002</v>
      </c>
      <c r="ET193" s="5">
        <v>-0.41948652741605003</v>
      </c>
      <c r="EU193" s="5">
        <v>0.50057600492406695</v>
      </c>
      <c r="EV193" s="5">
        <v>-0.41391741512145003</v>
      </c>
      <c r="EW193" s="5">
        <v>0.46264115147245299</v>
      </c>
      <c r="EX193" s="5">
        <v>-0.34383912034690201</v>
      </c>
      <c r="EY193" s="5">
        <v>0.44300807923784802</v>
      </c>
      <c r="EZ193" s="5">
        <v>-0.40449391241349297</v>
      </c>
      <c r="FA193" s="5">
        <v>0.446216197625394</v>
      </c>
      <c r="FB193" s="5">
        <v>-8.0820396034355493E-2</v>
      </c>
      <c r="FC193" s="5">
        <v>7.0916280366091003E-2</v>
      </c>
      <c r="FD193" s="5">
        <v>-0.25370161100649302</v>
      </c>
      <c r="FE193" s="5">
        <v>0.27499795921096798</v>
      </c>
      <c r="FF193" s="5">
        <v>-4.1981437665223498E-2</v>
      </c>
      <c r="FG193" s="5">
        <v>2.9249644852626999E-2</v>
      </c>
      <c r="FH193" s="5">
        <v>-0.22608506830867101</v>
      </c>
      <c r="FI193" s="5">
        <v>0.28072838091382402</v>
      </c>
      <c r="FJ193" s="5">
        <v>-0.32275090616588398</v>
      </c>
      <c r="FK193" s="5">
        <v>0.27087001218184797</v>
      </c>
      <c r="FL193" s="5">
        <v>0.27094703284392502</v>
      </c>
      <c r="FM193" s="5">
        <v>-0.28757371553739203</v>
      </c>
      <c r="FN193" s="5">
        <v>-7.6038647449427593E-2</v>
      </c>
      <c r="FO193" s="5">
        <v>-1.2434814073354899E-2</v>
      </c>
      <c r="FP193" s="5">
        <v>-4.3934178786393198E-2</v>
      </c>
      <c r="FQ193" s="5">
        <v>-8.1023231665827602E-2</v>
      </c>
      <c r="FR193" s="5">
        <v>0.32003431076241701</v>
      </c>
      <c r="FS193" s="5">
        <v>-0.31696489586319498</v>
      </c>
      <c r="FT193" s="5">
        <v>-0.10273708025388301</v>
      </c>
      <c r="FU193" s="5">
        <v>-4.71561704970275E-2</v>
      </c>
      <c r="FV193" s="5">
        <v>-0.102929691233106</v>
      </c>
      <c r="FW193" s="5">
        <v>9.5107242717857102E-2</v>
      </c>
      <c r="FX193" s="5">
        <v>-0.47338784840086401</v>
      </c>
      <c r="FY193" s="5">
        <v>0.50520904120594201</v>
      </c>
      <c r="FZ193" s="5">
        <v>-0.128742972731968</v>
      </c>
      <c r="GA193" s="5">
        <v>-3.20796943829528E-2</v>
      </c>
      <c r="GB193" s="5">
        <v>-6.2364696406862099E-4</v>
      </c>
      <c r="GC193" s="5">
        <v>-4.37966325858897E-2</v>
      </c>
      <c r="GD193" s="5">
        <v>0.12713072218178501</v>
      </c>
      <c r="GE193" s="5">
        <v>-8.7300901645854703E-2</v>
      </c>
      <c r="GF193" s="5">
        <v>-0.206704578104076</v>
      </c>
      <c r="GG193" s="5">
        <v>0.261594938825569</v>
      </c>
      <c r="GH193" s="5">
        <v>0.39998980276255203</v>
      </c>
      <c r="GI193" s="5">
        <v>-0.417778033930157</v>
      </c>
      <c r="GJ193" s="5">
        <v>-0.81778139901034697</v>
      </c>
      <c r="GK193" s="5">
        <v>1</v>
      </c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</row>
    <row r="194" spans="1:389" x14ac:dyDescent="0.45">
      <c r="A194" s="4" t="str">
        <f ca="1">"KNA / beta1dist in "&amp;CELL("address",'damages-1990'!$J$98)</f>
        <v>KNA / beta1dist in '[BHM betas v3pd.xlsx]damages-1990'!$J$98</v>
      </c>
      <c r="B194" s="6">
        <v>9.6959319959636706E-2</v>
      </c>
      <c r="C194" s="5">
        <v>1.18558656782165E-2</v>
      </c>
      <c r="D194" s="5">
        <v>0.44095138637282899</v>
      </c>
      <c r="E194" s="5">
        <v>-0.420998802233852</v>
      </c>
      <c r="F194" s="5">
        <v>5.3981183601522903E-2</v>
      </c>
      <c r="G194" s="5">
        <v>5.5763918638892601E-2</v>
      </c>
      <c r="H194" s="5">
        <v>-7.0109945923166994E-2</v>
      </c>
      <c r="I194" s="5">
        <v>6.5329432923717304E-2</v>
      </c>
      <c r="J194" s="5">
        <v>0.31182395150173597</v>
      </c>
      <c r="K194" s="5">
        <v>-0.241697980865968</v>
      </c>
      <c r="L194" s="5">
        <v>8.74956033215704E-2</v>
      </c>
      <c r="M194" s="5">
        <v>8.0131038798138807E-2</v>
      </c>
      <c r="N194" s="5">
        <v>6.2886787142917497E-2</v>
      </c>
      <c r="O194" s="5">
        <v>-9.3044392195481704E-2</v>
      </c>
      <c r="P194" s="5">
        <v>0.85089115713092101</v>
      </c>
      <c r="Q194" s="5">
        <v>-0.77209805706880397</v>
      </c>
      <c r="R194" s="5">
        <v>0.23460324522186399</v>
      </c>
      <c r="S194" s="5">
        <v>-0.24725300285943</v>
      </c>
      <c r="T194" s="5">
        <v>0.26999643153012098</v>
      </c>
      <c r="U194" s="5">
        <v>-0.33048352050537699</v>
      </c>
      <c r="V194" s="5">
        <v>6.26034247926813E-2</v>
      </c>
      <c r="W194" s="5">
        <v>0.10014065962149001</v>
      </c>
      <c r="X194" s="5">
        <v>0.43615188865976501</v>
      </c>
      <c r="Y194" s="5">
        <v>-0.39337998449099798</v>
      </c>
      <c r="Z194" s="5">
        <v>0.13076626721686599</v>
      </c>
      <c r="AA194" s="5">
        <v>-0.12221689534505301</v>
      </c>
      <c r="AB194" s="5">
        <v>0.47204627378489999</v>
      </c>
      <c r="AC194" s="5">
        <v>-0.52603555077933795</v>
      </c>
      <c r="AD194" s="5">
        <v>0.47121771872432</v>
      </c>
      <c r="AE194" s="5">
        <v>-0.48581735059796599</v>
      </c>
      <c r="AF194" s="5">
        <v>0.23880319325768301</v>
      </c>
      <c r="AG194" s="5">
        <v>-0.21294287437576701</v>
      </c>
      <c r="AH194" s="5">
        <v>8.7538144687989899E-2</v>
      </c>
      <c r="AI194" s="5">
        <v>-1.86579328030737E-2</v>
      </c>
      <c r="AJ194" s="5">
        <v>0.202073088973721</v>
      </c>
      <c r="AK194" s="5">
        <v>-0.118142176555305</v>
      </c>
      <c r="AL194" s="5">
        <v>-3.5456439770227603E-2</v>
      </c>
      <c r="AM194" s="5">
        <v>0.15502944862166501</v>
      </c>
      <c r="AN194" s="5">
        <v>0.18967902120830299</v>
      </c>
      <c r="AO194" s="5">
        <v>-0.20899298196886301</v>
      </c>
      <c r="AP194" s="5">
        <v>2.44977282835732E-2</v>
      </c>
      <c r="AQ194" s="5">
        <v>-4.3968393395084598E-2</v>
      </c>
      <c r="AR194" s="5">
        <v>0.13201370940250201</v>
      </c>
      <c r="AS194" s="5">
        <v>-5.2842782897054803E-2</v>
      </c>
      <c r="AT194" s="5">
        <v>-0.157530190997723</v>
      </c>
      <c r="AU194" s="5">
        <v>0.26698476550753197</v>
      </c>
      <c r="AV194" s="5">
        <v>0.32454229627141801</v>
      </c>
      <c r="AW194" s="5">
        <v>-0.40360730883317902</v>
      </c>
      <c r="AX194" s="5">
        <v>0.36297408093738198</v>
      </c>
      <c r="AY194" s="5">
        <v>-0.42199316968001599</v>
      </c>
      <c r="AZ194" s="5">
        <v>0.78373295788876496</v>
      </c>
      <c r="BA194" s="5">
        <v>-0.716682430554621</v>
      </c>
      <c r="BB194" s="5">
        <v>0.25787427877079799</v>
      </c>
      <c r="BC194" s="5">
        <v>-0.24965911006675101</v>
      </c>
      <c r="BD194" s="5">
        <v>5.0469136023152103E-2</v>
      </c>
      <c r="BE194" s="5">
        <v>5.0398065679191598E-2</v>
      </c>
      <c r="BF194" s="5">
        <v>0.46043676876187201</v>
      </c>
      <c r="BG194" s="5">
        <v>-0.44644401563270503</v>
      </c>
      <c r="BH194" s="5">
        <v>0.47866802486404197</v>
      </c>
      <c r="BI194" s="5">
        <v>-0.50888922700658501</v>
      </c>
      <c r="BJ194" s="5">
        <v>-9.9311351433450906E-2</v>
      </c>
      <c r="BK194" s="5">
        <v>0.14244376078736701</v>
      </c>
      <c r="BL194" s="5">
        <v>0.22144929972663499</v>
      </c>
      <c r="BM194" s="5">
        <v>-0.27930657323548103</v>
      </c>
      <c r="BN194" s="5">
        <v>3.3870835874204898E-2</v>
      </c>
      <c r="BO194" s="5">
        <v>-1.3453324651573201E-3</v>
      </c>
      <c r="BP194" s="5">
        <v>-0.11225155919924699</v>
      </c>
      <c r="BQ194" s="5">
        <v>0.26663507717241602</v>
      </c>
      <c r="BR194" s="5">
        <v>0.49530426107923098</v>
      </c>
      <c r="BS194" s="5">
        <v>-0.51277194871436804</v>
      </c>
      <c r="BT194" s="5">
        <v>0.44113207973353502</v>
      </c>
      <c r="BU194" s="5">
        <v>-0.49127588462781802</v>
      </c>
      <c r="BV194" s="5">
        <v>0.36137805632351799</v>
      </c>
      <c r="BW194" s="5">
        <v>-0.34922105624592098</v>
      </c>
      <c r="BX194" s="5">
        <v>0.28734972604269798</v>
      </c>
      <c r="BY194" s="5">
        <v>-0.289151115762731</v>
      </c>
      <c r="BZ194" s="5">
        <v>0.38029050317930502</v>
      </c>
      <c r="CA194" s="5">
        <v>-0.420088826472652</v>
      </c>
      <c r="CB194" s="5">
        <v>0.14630218196950201</v>
      </c>
      <c r="CC194" s="5">
        <v>-0.19791808997549801</v>
      </c>
      <c r="CD194" s="5">
        <v>0.43357210901996901</v>
      </c>
      <c r="CE194" s="5">
        <v>-0.48157091067625901</v>
      </c>
      <c r="CF194" s="5">
        <v>0.48454354420015999</v>
      </c>
      <c r="CG194" s="5">
        <v>-0.43808310303554898</v>
      </c>
      <c r="CH194" s="5">
        <v>-0.10944708944293199</v>
      </c>
      <c r="CI194" s="5">
        <v>0.20443557654876701</v>
      </c>
      <c r="CJ194" s="5">
        <v>-7.2989649615918001E-2</v>
      </c>
      <c r="CK194" s="5">
        <v>0.232460134762667</v>
      </c>
      <c r="CL194" s="5">
        <v>0.215492305246821</v>
      </c>
      <c r="CM194" s="5">
        <v>-0.24654327562992601</v>
      </c>
      <c r="CN194" s="5">
        <v>0.15694468182844101</v>
      </c>
      <c r="CO194" s="5">
        <v>-0.161961972945703</v>
      </c>
      <c r="CP194" s="5">
        <v>0.42063237298238798</v>
      </c>
      <c r="CQ194" s="5">
        <v>-0.38098600561509799</v>
      </c>
      <c r="CR194" s="5">
        <v>0.81973405667347099</v>
      </c>
      <c r="CS194" s="5">
        <v>-0.73479953111727203</v>
      </c>
      <c r="CT194" s="5">
        <v>0.11924723536850999</v>
      </c>
      <c r="CU194" s="5">
        <v>-0.119311352341943</v>
      </c>
      <c r="CV194" s="5">
        <v>0.61484426804888503</v>
      </c>
      <c r="CW194" s="5">
        <v>-0.52483037671033195</v>
      </c>
      <c r="CX194" s="5">
        <v>0.29921012464247398</v>
      </c>
      <c r="CY194" s="5">
        <v>-0.23532044802977301</v>
      </c>
      <c r="CZ194" s="5">
        <v>0.41287962354663399</v>
      </c>
      <c r="DA194" s="5">
        <v>-0.45176075198472898</v>
      </c>
      <c r="DB194" s="5">
        <v>0.27613561184619301</v>
      </c>
      <c r="DC194" s="5">
        <v>-0.12715567640039999</v>
      </c>
      <c r="DD194" s="5">
        <v>0.520332816670251</v>
      </c>
      <c r="DE194" s="5">
        <v>-0.45612738731714197</v>
      </c>
      <c r="DF194" s="5">
        <v>0.40741816131473002</v>
      </c>
      <c r="DG194" s="5">
        <v>-0.373862407838294</v>
      </c>
      <c r="DH194" s="5">
        <v>0.18655947312375101</v>
      </c>
      <c r="DI194" s="5">
        <v>-0.12546909199027301</v>
      </c>
      <c r="DJ194" s="5">
        <v>-4.0326136907130597E-3</v>
      </c>
      <c r="DK194" s="5">
        <v>-9.9736895663334203E-3</v>
      </c>
      <c r="DL194" s="5">
        <v>0.44811924318304402</v>
      </c>
      <c r="DM194" s="5">
        <v>-0.42025823666803203</v>
      </c>
      <c r="DN194" s="5">
        <v>-2.2889493997421399E-2</v>
      </c>
      <c r="DO194" s="5">
        <v>6.9589922054303002E-3</v>
      </c>
      <c r="DP194" s="5">
        <v>-0.139718890437628</v>
      </c>
      <c r="DQ194" s="5">
        <v>0.22205051470207199</v>
      </c>
      <c r="DR194" s="5">
        <v>0.111992868969189</v>
      </c>
      <c r="DS194" s="5">
        <v>-8.5748654198163396E-2</v>
      </c>
      <c r="DT194" s="5">
        <v>7.4748083093408801E-2</v>
      </c>
      <c r="DU194" s="5">
        <v>-5.6877903969618601E-2</v>
      </c>
      <c r="DV194" s="5">
        <v>0.32139530755937001</v>
      </c>
      <c r="DW194" s="5">
        <v>-0.32859473668253297</v>
      </c>
      <c r="DX194" s="5">
        <v>6.3352676892735799E-2</v>
      </c>
      <c r="DY194" s="5">
        <v>-7.5740107598352396E-2</v>
      </c>
      <c r="DZ194" s="5">
        <v>4.9818028151959001E-2</v>
      </c>
      <c r="EA194" s="5">
        <v>-9.6911422606121497E-2</v>
      </c>
      <c r="EB194" s="5">
        <v>0.53828319974114403</v>
      </c>
      <c r="EC194" s="5">
        <v>-0.53860434010078895</v>
      </c>
      <c r="ED194" s="5">
        <v>0.48095704169398301</v>
      </c>
      <c r="EE194" s="5">
        <v>-0.49374183188542597</v>
      </c>
      <c r="EF194" s="5">
        <v>0.84180596077704395</v>
      </c>
      <c r="EG194" s="5">
        <v>-0.75061243729202598</v>
      </c>
      <c r="EH194" s="5">
        <v>0.51083976115961804</v>
      </c>
      <c r="EI194" s="5">
        <v>-0.50963156706338697</v>
      </c>
      <c r="EJ194" s="5">
        <v>0.49205945989856398</v>
      </c>
      <c r="EK194" s="5">
        <v>-0.50846779442616097</v>
      </c>
      <c r="EL194" s="5">
        <v>0.416906243031961</v>
      </c>
      <c r="EM194" s="5">
        <v>-0.44321426134504699</v>
      </c>
      <c r="EN194" s="5">
        <v>-0.12841027488930201</v>
      </c>
      <c r="EO194" s="5">
        <v>0.31912371721051203</v>
      </c>
      <c r="EP194" s="5">
        <v>0.75477498857369196</v>
      </c>
      <c r="EQ194" s="5">
        <v>-0.71040725158640505</v>
      </c>
      <c r="ER194" s="5">
        <v>0.122385445981021</v>
      </c>
      <c r="ES194" s="5">
        <v>-6.3529065717800107E-2</v>
      </c>
      <c r="ET194" s="5">
        <v>0.443675800949976</v>
      </c>
      <c r="EU194" s="5">
        <v>-0.45973616211367901</v>
      </c>
      <c r="EV194" s="5">
        <v>0.40749217874403898</v>
      </c>
      <c r="EW194" s="5">
        <v>-0.42261168056725601</v>
      </c>
      <c r="EX194" s="5">
        <v>0.163332172788933</v>
      </c>
      <c r="EY194" s="5">
        <v>-0.17248328919957001</v>
      </c>
      <c r="EZ194" s="5">
        <v>0.196775262483013</v>
      </c>
      <c r="FA194" s="5">
        <v>-0.13399215744972101</v>
      </c>
      <c r="FB194" s="5">
        <v>0.132175549038059</v>
      </c>
      <c r="FC194" s="5">
        <v>-8.6150695678219896E-2</v>
      </c>
      <c r="FD194" s="5">
        <v>0.415099330356059</v>
      </c>
      <c r="FE194" s="5">
        <v>-0.35141935719939899</v>
      </c>
      <c r="FF194" s="5">
        <v>0.142185858905896</v>
      </c>
      <c r="FG194" s="5">
        <v>-0.105544806038637</v>
      </c>
      <c r="FH194" s="5">
        <v>0.12831035034131999</v>
      </c>
      <c r="FI194" s="5">
        <v>-5.6782626919051601E-2</v>
      </c>
      <c r="FJ194" s="5">
        <v>0.35047385707245299</v>
      </c>
      <c r="FK194" s="5">
        <v>-0.29534729333965198</v>
      </c>
      <c r="FL194" s="5">
        <v>-5.8590400659409202E-2</v>
      </c>
      <c r="FM194" s="5">
        <v>6.1353000135910898E-2</v>
      </c>
      <c r="FN194" s="5">
        <v>0.110145879073513</v>
      </c>
      <c r="FO194" s="5">
        <v>4.5910025019138302E-2</v>
      </c>
      <c r="FP194" s="5">
        <v>0.17725412471194801</v>
      </c>
      <c r="FQ194" s="5">
        <v>-4.9461247236409897E-3</v>
      </c>
      <c r="FR194" s="5">
        <v>-0.156399284997666</v>
      </c>
      <c r="FS194" s="5">
        <v>0.18217471465854401</v>
      </c>
      <c r="FT194" s="5">
        <v>0.149991458999442</v>
      </c>
      <c r="FU194" s="5">
        <v>5.2965469564068897E-2</v>
      </c>
      <c r="FV194" s="5">
        <v>6.8689406952619894E-2</v>
      </c>
      <c r="FW194" s="5">
        <v>3.6544220088416603E-2</v>
      </c>
      <c r="FX194" s="5">
        <v>0.41300454076509502</v>
      </c>
      <c r="FY194" s="5">
        <v>-0.36527586246884503</v>
      </c>
      <c r="FZ194" s="5">
        <v>0.21187102837858299</v>
      </c>
      <c r="GA194" s="5">
        <v>-6.6018829597810601E-3</v>
      </c>
      <c r="GB194" s="5">
        <v>5.2609824702829697E-2</v>
      </c>
      <c r="GC194" s="5">
        <v>5.1485353024897797E-2</v>
      </c>
      <c r="GD194" s="5">
        <v>-5.4141260804197497E-2</v>
      </c>
      <c r="GE194" s="5">
        <v>5.15753733965209E-2</v>
      </c>
      <c r="GF194" s="5">
        <v>0.165521966768542</v>
      </c>
      <c r="GG194" s="5">
        <v>-0.19246023419479399</v>
      </c>
      <c r="GH194" s="5">
        <v>-0.22504713925644501</v>
      </c>
      <c r="GI194" s="5">
        <v>0.255126403227182</v>
      </c>
      <c r="GJ194" s="5">
        <v>0.35832138700080701</v>
      </c>
      <c r="GK194" s="5">
        <v>-0.38983074293195402</v>
      </c>
      <c r="GL194" s="5">
        <v>1</v>
      </c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</row>
    <row r="195" spans="1:389" x14ac:dyDescent="0.45">
      <c r="A195" s="4" t="str">
        <f ca="1">"KNA / beta2dist in "&amp;CELL("address",'damages-1990'!$K$98)</f>
        <v>KNA / beta2dist in '[BHM betas v3pd.xlsx]damages-1990'!$K$98</v>
      </c>
      <c r="B195" s="6">
        <v>-5.0864592829220198E-3</v>
      </c>
      <c r="C195" s="5">
        <v>0.14999606242143201</v>
      </c>
      <c r="D195" s="5">
        <v>-0.230625138799744</v>
      </c>
      <c r="E195" s="5">
        <v>0.49870965750671398</v>
      </c>
      <c r="F195" s="5">
        <v>2.70024865806393E-2</v>
      </c>
      <c r="G195" s="5">
        <v>1.7367686119277002E-2</v>
      </c>
      <c r="H195" s="5">
        <v>-1.50461363156793E-2</v>
      </c>
      <c r="I195" s="5">
        <v>-1.6797504166962799E-2</v>
      </c>
      <c r="J195" s="5">
        <v>-0.135748720023633</v>
      </c>
      <c r="K195" s="5">
        <v>0.34219910585799801</v>
      </c>
      <c r="L195" s="5">
        <v>7.4328569146862103E-2</v>
      </c>
      <c r="M195" s="5">
        <v>-1.9179419154625999E-2</v>
      </c>
      <c r="N195" s="5">
        <v>-3.9766611894908897E-2</v>
      </c>
      <c r="O195" s="5">
        <v>5.6886856117067799E-2</v>
      </c>
      <c r="P195" s="5">
        <v>-0.68706537847631699</v>
      </c>
      <c r="Q195" s="5">
        <v>0.84623797851217297</v>
      </c>
      <c r="R195" s="5">
        <v>-3.7751180430159501E-2</v>
      </c>
      <c r="S195" s="5">
        <v>0.32768876083028797</v>
      </c>
      <c r="T195" s="5">
        <v>-0.363438530640119</v>
      </c>
      <c r="U195" s="5">
        <v>0.42518191397947203</v>
      </c>
      <c r="V195" s="5">
        <v>4.09407223972416E-2</v>
      </c>
      <c r="W195" s="5">
        <v>2.5904412716529601E-2</v>
      </c>
      <c r="X195" s="5">
        <v>-0.24386412853551401</v>
      </c>
      <c r="Y195" s="5">
        <v>0.475897992367394</v>
      </c>
      <c r="Z195" s="5">
        <v>-0.142285912638104</v>
      </c>
      <c r="AA195" s="5">
        <v>0.19426378011018799</v>
      </c>
      <c r="AB195" s="5">
        <v>-0.333201168636862</v>
      </c>
      <c r="AC195" s="5">
        <v>0.61579499823722395</v>
      </c>
      <c r="AD195" s="5">
        <v>-0.36071268244580301</v>
      </c>
      <c r="AE195" s="5">
        <v>0.61047543438860397</v>
      </c>
      <c r="AF195" s="5">
        <v>-9.1703444339358106E-2</v>
      </c>
      <c r="AG195" s="5">
        <v>0.30895651308905298</v>
      </c>
      <c r="AH195" s="5">
        <v>-3.5047411030978297E-2</v>
      </c>
      <c r="AI195" s="5">
        <v>9.3442769756246102E-2</v>
      </c>
      <c r="AJ195" s="5">
        <v>-7.8049904312983004E-2</v>
      </c>
      <c r="AK195" s="5">
        <v>0.25969270328743199</v>
      </c>
      <c r="AL195" s="5">
        <v>0.28222162259046901</v>
      </c>
      <c r="AM195" s="5">
        <v>-0.27304778039521199</v>
      </c>
      <c r="AN195" s="5">
        <v>-0.222485728015272</v>
      </c>
      <c r="AO195" s="5">
        <v>0.31759641115487602</v>
      </c>
      <c r="AP195" s="5">
        <v>-0.18368900448998099</v>
      </c>
      <c r="AQ195" s="5">
        <v>0.22109410077750799</v>
      </c>
      <c r="AR195" s="5">
        <v>5.5704010497491602E-2</v>
      </c>
      <c r="AS195" s="5">
        <v>7.9121786156470503E-2</v>
      </c>
      <c r="AT195" s="5">
        <v>0.35233464078890098</v>
      </c>
      <c r="AU195" s="5">
        <v>-0.35896641712501298</v>
      </c>
      <c r="AV195" s="5">
        <v>-9.3037993335133004E-2</v>
      </c>
      <c r="AW195" s="5">
        <v>0.450335591272919</v>
      </c>
      <c r="AX195" s="5">
        <v>-0.15725838901956199</v>
      </c>
      <c r="AY195" s="5">
        <v>0.49448399287982497</v>
      </c>
      <c r="AZ195" s="5">
        <v>-0.64561177533376501</v>
      </c>
      <c r="BA195" s="5">
        <v>0.80304034598965901</v>
      </c>
      <c r="BB195" s="5">
        <v>-7.0436917745187094E-2</v>
      </c>
      <c r="BC195" s="5">
        <v>0.35928562518762402</v>
      </c>
      <c r="BD195" s="5">
        <v>-2.0282314497981801E-2</v>
      </c>
      <c r="BE195" s="5">
        <v>0.14123983430347101</v>
      </c>
      <c r="BF195" s="5">
        <v>-0.31413276469469098</v>
      </c>
      <c r="BG195" s="5">
        <v>0.53638017458504195</v>
      </c>
      <c r="BH195" s="5">
        <v>-0.29553244707086601</v>
      </c>
      <c r="BI195" s="5">
        <v>0.61091687328365196</v>
      </c>
      <c r="BJ195" s="5">
        <v>-0.118096156700343</v>
      </c>
      <c r="BK195" s="5">
        <v>-4.9844142944469101E-2</v>
      </c>
      <c r="BL195" s="5">
        <v>-0.31264340207173402</v>
      </c>
      <c r="BM195" s="5">
        <v>0.350201891222443</v>
      </c>
      <c r="BN195" s="5">
        <v>-4.4366121129478298E-2</v>
      </c>
      <c r="BO195" s="5">
        <v>3.0691378227655199E-2</v>
      </c>
      <c r="BP195" s="5">
        <v>3.13133444501075E-2</v>
      </c>
      <c r="BQ195" s="5">
        <v>-0.15545774516662</v>
      </c>
      <c r="BR195" s="5">
        <v>-0.39661294347676102</v>
      </c>
      <c r="BS195" s="5">
        <v>0.64741518908644002</v>
      </c>
      <c r="BT195" s="5">
        <v>-0.23583722763795101</v>
      </c>
      <c r="BU195" s="5">
        <v>0.58049974526080095</v>
      </c>
      <c r="BV195" s="5">
        <v>-0.16791196907118699</v>
      </c>
      <c r="BW195" s="5">
        <v>0.44565564475104102</v>
      </c>
      <c r="BX195" s="5">
        <v>-0.1129251561795</v>
      </c>
      <c r="BY195" s="5">
        <v>0.38204116800617</v>
      </c>
      <c r="BZ195" s="5">
        <v>-0.19863785030217501</v>
      </c>
      <c r="CA195" s="5">
        <v>0.489781010155389</v>
      </c>
      <c r="CB195" s="5">
        <v>4.1489708960242601E-2</v>
      </c>
      <c r="CC195" s="5">
        <v>0.20868946601975899</v>
      </c>
      <c r="CD195" s="5">
        <v>-0.23595135097762199</v>
      </c>
      <c r="CE195" s="5">
        <v>0.44968454026201898</v>
      </c>
      <c r="CF195" s="5">
        <v>-0.34859929857676403</v>
      </c>
      <c r="CG195" s="5">
        <v>0.49782509087660198</v>
      </c>
      <c r="CH195" s="5">
        <v>0.347163442901887</v>
      </c>
      <c r="CI195" s="5">
        <v>-0.31938090393386698</v>
      </c>
      <c r="CJ195" s="5">
        <v>0.19236265211769299</v>
      </c>
      <c r="CK195" s="5">
        <v>-0.18942004789896599</v>
      </c>
      <c r="CL195" s="5">
        <v>-0.28423119570376199</v>
      </c>
      <c r="CM195" s="5">
        <v>0.34282331315415898</v>
      </c>
      <c r="CN195" s="5">
        <v>-0.20389742761156901</v>
      </c>
      <c r="CO195" s="5">
        <v>0.252532631407686</v>
      </c>
      <c r="CP195" s="5">
        <v>-0.41896991661281802</v>
      </c>
      <c r="CQ195" s="5">
        <v>0.55929191129364297</v>
      </c>
      <c r="CR195" s="5">
        <v>-0.65480721519955598</v>
      </c>
      <c r="CS195" s="5">
        <v>0.82031615547890102</v>
      </c>
      <c r="CT195" s="5">
        <v>-0.19078325558672601</v>
      </c>
      <c r="CU195" s="5">
        <v>0.21611774175307799</v>
      </c>
      <c r="CV195" s="5">
        <v>-0.46286617315127998</v>
      </c>
      <c r="CW195" s="5">
        <v>0.60718681108755601</v>
      </c>
      <c r="CX195" s="5">
        <v>-0.115632361566016</v>
      </c>
      <c r="CY195" s="5">
        <v>0.31660290734730401</v>
      </c>
      <c r="CZ195" s="5">
        <v>-0.21931484323112099</v>
      </c>
      <c r="DA195" s="5">
        <v>0.48121901216517099</v>
      </c>
      <c r="DB195" s="5">
        <v>-4.6359447492283601E-2</v>
      </c>
      <c r="DC195" s="5">
        <v>0.173249390927675</v>
      </c>
      <c r="DD195" s="5">
        <v>-0.47616091918256598</v>
      </c>
      <c r="DE195" s="5">
        <v>0.63850622013391201</v>
      </c>
      <c r="DF195" s="5">
        <v>-0.205783703064013</v>
      </c>
      <c r="DG195" s="5">
        <v>0.39852482563418201</v>
      </c>
      <c r="DH195" s="5">
        <v>-6.5912923284739106E-2</v>
      </c>
      <c r="DI195" s="5">
        <v>0.21562813082953899</v>
      </c>
      <c r="DJ195" s="5">
        <v>-0.162273991797317</v>
      </c>
      <c r="DK195" s="5">
        <v>0.182856864847601</v>
      </c>
      <c r="DL195" s="5">
        <v>-0.30224904322552498</v>
      </c>
      <c r="DM195" s="5">
        <v>0.54981198034677903</v>
      </c>
      <c r="DN195" s="5">
        <v>-0.17240927403907699</v>
      </c>
      <c r="DO195" s="5">
        <v>0.17447361149271501</v>
      </c>
      <c r="DP195" s="5">
        <v>0.30432687083347398</v>
      </c>
      <c r="DQ195" s="5">
        <v>-0.21041596117254499</v>
      </c>
      <c r="DR195" s="5">
        <v>-8.1005184100561206E-2</v>
      </c>
      <c r="DS195" s="5">
        <v>0.17166517984606899</v>
      </c>
      <c r="DT195" s="5">
        <v>-3.8093332524969999E-2</v>
      </c>
      <c r="DU195" s="5">
        <v>0.15007036700922599</v>
      </c>
      <c r="DV195" s="5">
        <v>-0.163745257441306</v>
      </c>
      <c r="DW195" s="5">
        <v>0.39489952576548498</v>
      </c>
      <c r="DX195" s="5">
        <v>-0.12865691426293899</v>
      </c>
      <c r="DY195" s="5">
        <v>0.17274891828082201</v>
      </c>
      <c r="DZ195" s="5">
        <v>-2.2134424761068801E-2</v>
      </c>
      <c r="EA195" s="5">
        <v>7.5136040411743196E-2</v>
      </c>
      <c r="EB195" s="5">
        <v>-0.41056617240200299</v>
      </c>
      <c r="EC195" s="5">
        <v>0.652743177866694</v>
      </c>
      <c r="ED195" s="5">
        <v>-0.335167861992827</v>
      </c>
      <c r="EE195" s="5">
        <v>0.61457720399164495</v>
      </c>
      <c r="EF195" s="5">
        <v>-0.69529355273381799</v>
      </c>
      <c r="EG195" s="5">
        <v>0.83967965656448396</v>
      </c>
      <c r="EH195" s="5">
        <v>-0.32186438141586798</v>
      </c>
      <c r="EI195" s="5">
        <v>0.58972205662674304</v>
      </c>
      <c r="EJ195" s="5">
        <v>-0.32618426990699401</v>
      </c>
      <c r="EK195" s="5">
        <v>0.61357936500046295</v>
      </c>
      <c r="EL195" s="5">
        <v>-0.208242902784157</v>
      </c>
      <c r="EM195" s="5">
        <v>0.48715225341650997</v>
      </c>
      <c r="EN195" s="5">
        <v>0.295225717597976</v>
      </c>
      <c r="EO195" s="5">
        <v>-0.32859961310498997</v>
      </c>
      <c r="EP195" s="5">
        <v>-0.62982364302447902</v>
      </c>
      <c r="EQ195" s="5">
        <v>0.80202742863589105</v>
      </c>
      <c r="ER195" s="5">
        <v>6.06600505043133E-2</v>
      </c>
      <c r="ES195" s="5">
        <v>0.12366346046248999</v>
      </c>
      <c r="ET195" s="5">
        <v>-0.21098705804169601</v>
      </c>
      <c r="EU195" s="5">
        <v>0.46317229411773497</v>
      </c>
      <c r="EV195" s="5">
        <v>-0.216423978928419</v>
      </c>
      <c r="EW195" s="5">
        <v>0.47151443805169102</v>
      </c>
      <c r="EX195" s="5">
        <v>2.51265683369323E-2</v>
      </c>
      <c r="EY195" s="5">
        <v>0.20323744142377401</v>
      </c>
      <c r="EZ195" s="5">
        <v>-1.9902014720704499E-2</v>
      </c>
      <c r="FA195" s="5">
        <v>0.210068779903367</v>
      </c>
      <c r="FB195" s="5">
        <v>-8.4745760565144296E-2</v>
      </c>
      <c r="FC195" s="5">
        <v>0.17067241012680401</v>
      </c>
      <c r="FD195" s="5">
        <v>-0.21688770350252501</v>
      </c>
      <c r="FE195" s="5">
        <v>0.383343687614221</v>
      </c>
      <c r="FF195" s="5">
        <v>-0.123413542521101</v>
      </c>
      <c r="FG195" s="5">
        <v>0.197304274427412</v>
      </c>
      <c r="FH195" s="5">
        <v>0.13837400946009101</v>
      </c>
      <c r="FI195" s="5">
        <v>2.2249888420798301E-2</v>
      </c>
      <c r="FJ195" s="5">
        <v>-0.132826527526546</v>
      </c>
      <c r="FK195" s="5">
        <v>0.360506843754065</v>
      </c>
      <c r="FL195" s="5">
        <v>9.7333336655476502E-3</v>
      </c>
      <c r="FM195" s="5">
        <v>1.42613296010558E-2</v>
      </c>
      <c r="FN195" s="5">
        <v>1.4541208319563501E-2</v>
      </c>
      <c r="FO195" s="5">
        <v>9.6893258242396405E-2</v>
      </c>
      <c r="FP195" s="5">
        <v>-5.02097365186807E-2</v>
      </c>
      <c r="FQ195" s="5">
        <v>0.14057157247780999</v>
      </c>
      <c r="FR195" s="5">
        <v>0.20794388853120399</v>
      </c>
      <c r="FS195" s="5">
        <v>-0.246426332557002</v>
      </c>
      <c r="FT195" s="5">
        <v>2.9035095454526299E-2</v>
      </c>
      <c r="FU195" s="5">
        <v>4.1198746720150801E-2</v>
      </c>
      <c r="FV195" s="5">
        <v>4.0086752372967403E-2</v>
      </c>
      <c r="FW195" s="5">
        <v>3.2577443533813803E-2</v>
      </c>
      <c r="FX195" s="5">
        <v>-0.17527289982924599</v>
      </c>
      <c r="FY195" s="5">
        <v>0.35261564290606501</v>
      </c>
      <c r="FZ195" s="5">
        <v>-2.1347936539139498E-2</v>
      </c>
      <c r="GA195" s="5">
        <v>0.112442614277212</v>
      </c>
      <c r="GB195" s="5">
        <v>-3.7118190986930998E-2</v>
      </c>
      <c r="GC195" s="5">
        <v>0.10640014744776601</v>
      </c>
      <c r="GD195" s="5">
        <v>-1.8313792467732199E-2</v>
      </c>
      <c r="GE195" s="5">
        <v>1.795983170887E-2</v>
      </c>
      <c r="GF195" s="5">
        <v>4.4612793500050603E-2</v>
      </c>
      <c r="GG195" s="5">
        <v>0.26726185734820501</v>
      </c>
      <c r="GH195" s="5">
        <v>0.159388721740096</v>
      </c>
      <c r="GI195" s="5">
        <v>-0.296124113024064</v>
      </c>
      <c r="GJ195" s="5">
        <v>-9.5011518634632197E-2</v>
      </c>
      <c r="GK195" s="5">
        <v>0.31914983785851903</v>
      </c>
      <c r="GL195" s="5">
        <v>-0.86748517255969704</v>
      </c>
      <c r="GM195" s="5">
        <v>1</v>
      </c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</row>
    <row r="196" spans="1:389" x14ac:dyDescent="0.45">
      <c r="A196" s="4" t="str">
        <f ca="1">"KOR / beta1dist in "&amp;CELL("address",'damages-1990'!$J$99)</f>
        <v>KOR / beta1dist in '[BHM betas v3pd.xlsx]damages-1990'!$J$99</v>
      </c>
      <c r="B196" s="6">
        <v>0.54160938136131298</v>
      </c>
      <c r="C196" s="5">
        <v>-0.158858325597179</v>
      </c>
      <c r="D196" s="5">
        <v>0.229826690633467</v>
      </c>
      <c r="E196" s="5">
        <v>-0.108295357261242</v>
      </c>
      <c r="F196" s="5">
        <v>0.70755493477153297</v>
      </c>
      <c r="G196" s="5">
        <v>-0.39697303977056703</v>
      </c>
      <c r="H196" s="5">
        <v>0.470254018085212</v>
      </c>
      <c r="I196" s="5">
        <v>-0.25105614332541198</v>
      </c>
      <c r="J196" s="5">
        <v>0.14332271173348299</v>
      </c>
      <c r="K196" s="5">
        <v>-9.7861857707705793E-2</v>
      </c>
      <c r="L196" s="5">
        <v>0.46321811521324802</v>
      </c>
      <c r="M196" s="5">
        <v>-0.14322295160356899</v>
      </c>
      <c r="N196" s="5">
        <v>0.46450089785201698</v>
      </c>
      <c r="O196" s="5">
        <v>-9.6227498109730497E-2</v>
      </c>
      <c r="P196" s="5">
        <v>2.1154776300031399E-2</v>
      </c>
      <c r="Q196" s="5">
        <v>9.2158510972856003E-3</v>
      </c>
      <c r="R196" s="5">
        <v>0.23306398616894999</v>
      </c>
      <c r="S196" s="5">
        <v>-0.104100985777503</v>
      </c>
      <c r="T196" s="5">
        <v>0.51397466209074005</v>
      </c>
      <c r="U196" s="5">
        <v>-0.27940691076331797</v>
      </c>
      <c r="V196" s="5">
        <v>0.57969672477745904</v>
      </c>
      <c r="W196" s="5">
        <v>-0.208156257884234</v>
      </c>
      <c r="X196" s="5">
        <v>0.24792211097521</v>
      </c>
      <c r="Y196" s="5">
        <v>-9.5215661827332806E-2</v>
      </c>
      <c r="Z196" s="5">
        <v>0.70245147301703603</v>
      </c>
      <c r="AA196" s="5">
        <v>-0.43038531910535199</v>
      </c>
      <c r="AB196" s="5">
        <v>0.133388126150323</v>
      </c>
      <c r="AC196" s="5">
        <v>-3.9823423527481999E-2</v>
      </c>
      <c r="AD196" s="5">
        <v>0.15354725832408</v>
      </c>
      <c r="AE196" s="5">
        <v>-3.6458299161389401E-2</v>
      </c>
      <c r="AF196" s="5">
        <v>3.6404003004834901E-2</v>
      </c>
      <c r="AG196" s="5">
        <v>2.0502129271702099E-2</v>
      </c>
      <c r="AH196" s="5">
        <v>0.69874432174186396</v>
      </c>
      <c r="AI196" s="5">
        <v>-0.38334654395428502</v>
      </c>
      <c r="AJ196" s="5">
        <v>0.11934436816190799</v>
      </c>
      <c r="AK196" s="5">
        <v>-9.2162388169798895E-2</v>
      </c>
      <c r="AL196" s="5">
        <v>5.2167270006345003E-2</v>
      </c>
      <c r="AM196" s="5">
        <v>-1.12394831466557E-2</v>
      </c>
      <c r="AN196" s="5">
        <v>0.66074041428268804</v>
      </c>
      <c r="AO196" s="5">
        <v>-0.34678835989557599</v>
      </c>
      <c r="AP196" s="5">
        <v>0.55327285974143203</v>
      </c>
      <c r="AQ196" s="5">
        <v>-0.30329881062772701</v>
      </c>
      <c r="AR196" s="5">
        <v>8.4533772484578204E-2</v>
      </c>
      <c r="AS196" s="5">
        <v>-9.6311564424030396E-3</v>
      </c>
      <c r="AT196" s="5">
        <v>7.6590560762833895E-2</v>
      </c>
      <c r="AU196" s="5">
        <v>-8.3274692287461996E-3</v>
      </c>
      <c r="AV196" s="5">
        <v>0.15624135980613499</v>
      </c>
      <c r="AW196" s="5">
        <v>-3.8213705527192901E-2</v>
      </c>
      <c r="AX196" s="5">
        <v>0.110521194262408</v>
      </c>
      <c r="AY196" s="5">
        <v>-6.9956926948611997E-2</v>
      </c>
      <c r="AZ196" s="5">
        <v>2.9479431698509501E-2</v>
      </c>
      <c r="BA196" s="5">
        <v>5.49880425956347E-3</v>
      </c>
      <c r="BB196" s="5">
        <v>0.185407529204803</v>
      </c>
      <c r="BC196" s="5">
        <v>-0.115159736308879</v>
      </c>
      <c r="BD196" s="5">
        <v>0.68847344546114897</v>
      </c>
      <c r="BE196" s="5">
        <v>-0.28754334385379798</v>
      </c>
      <c r="BF196" s="5">
        <v>0.156460343383416</v>
      </c>
      <c r="BG196" s="5">
        <v>-7.2715911723460105E-2</v>
      </c>
      <c r="BH196" s="5">
        <v>0.15961971142846201</v>
      </c>
      <c r="BI196" s="5">
        <v>-5.0378437016798602E-2</v>
      </c>
      <c r="BJ196" s="5">
        <v>0.31942966936836298</v>
      </c>
      <c r="BK196" s="5">
        <v>-4.12229834098908E-2</v>
      </c>
      <c r="BL196" s="5">
        <v>0.50434303318563001</v>
      </c>
      <c r="BM196" s="5">
        <v>-0.277874814166166</v>
      </c>
      <c r="BN196" s="5">
        <v>0.47837474880340197</v>
      </c>
      <c r="BO196" s="5">
        <v>-5.4211815454486202E-2</v>
      </c>
      <c r="BP196" s="5">
        <v>0.67627758263633697</v>
      </c>
      <c r="BQ196" s="5">
        <v>-0.347701177409173</v>
      </c>
      <c r="BR196" s="5">
        <v>0.19704461745697299</v>
      </c>
      <c r="BS196" s="5">
        <v>-7.6067960045557603E-2</v>
      </c>
      <c r="BT196" s="5">
        <v>0.17086860552872599</v>
      </c>
      <c r="BU196" s="5">
        <v>-5.8897605763369297E-2</v>
      </c>
      <c r="BV196" s="5">
        <v>0.21220761535310501</v>
      </c>
      <c r="BW196" s="5">
        <v>-0.122837986446224</v>
      </c>
      <c r="BX196" s="5">
        <v>0.18627217044230701</v>
      </c>
      <c r="BY196" s="5">
        <v>-0.102981421413202</v>
      </c>
      <c r="BZ196" s="5">
        <v>0.155948927771206</v>
      </c>
      <c r="CA196" s="5">
        <v>-9.5991571814227294E-2</v>
      </c>
      <c r="CB196" s="5">
        <v>0.11469777331626201</v>
      </c>
      <c r="CC196" s="5">
        <v>-5.97805519260039E-2</v>
      </c>
      <c r="CD196" s="5">
        <v>0.14144043469270901</v>
      </c>
      <c r="CE196" s="5">
        <v>-3.9052682042377898E-2</v>
      </c>
      <c r="CF196" s="5">
        <v>3.9334988692781001E-2</v>
      </c>
      <c r="CG196" s="5">
        <v>1.8018712727025502E-2</v>
      </c>
      <c r="CH196" s="5">
        <v>2.78720550926209E-2</v>
      </c>
      <c r="CI196" s="5">
        <v>1.4204269844230099E-2</v>
      </c>
      <c r="CJ196" s="5">
        <v>0.167719020439761</v>
      </c>
      <c r="CK196" s="5">
        <v>-3.3916507411687898E-2</v>
      </c>
      <c r="CL196" s="5">
        <v>0.59802942105800405</v>
      </c>
      <c r="CM196" s="5">
        <v>-0.335778243214848</v>
      </c>
      <c r="CN196" s="5">
        <v>0.67619520833279001</v>
      </c>
      <c r="CO196" s="5">
        <v>-0.410533566385062</v>
      </c>
      <c r="CP196" s="5">
        <v>0.15068716460786799</v>
      </c>
      <c r="CQ196" s="5">
        <v>-6.6373081089386707E-2</v>
      </c>
      <c r="CR196" s="5">
        <v>6.4990161045754405E-2</v>
      </c>
      <c r="CS196" s="5">
        <v>5.0635666462501899E-3</v>
      </c>
      <c r="CT196" s="5">
        <v>0.55444353846039995</v>
      </c>
      <c r="CU196" s="5">
        <v>-0.329905222272315</v>
      </c>
      <c r="CV196" s="5">
        <v>0.15876618130576101</v>
      </c>
      <c r="CW196" s="5">
        <v>-9.6747745989708006E-2</v>
      </c>
      <c r="CX196" s="5">
        <v>0.15837433119554101</v>
      </c>
      <c r="CY196" s="5">
        <v>-5.0588740211541E-2</v>
      </c>
      <c r="CZ196" s="5">
        <v>0.169681852999609</v>
      </c>
      <c r="DA196" s="5">
        <v>-7.7757620394158594E-2</v>
      </c>
      <c r="DB196" s="5">
        <v>0.119964877119509</v>
      </c>
      <c r="DC196" s="5">
        <v>-3.64940564724986E-2</v>
      </c>
      <c r="DD196" s="5">
        <v>0.168582664316409</v>
      </c>
      <c r="DE196" s="5">
        <v>-6.7603717396114399E-2</v>
      </c>
      <c r="DF196" s="5">
        <v>0.12663364025894999</v>
      </c>
      <c r="DG196" s="5">
        <v>-8.9157621263085806E-3</v>
      </c>
      <c r="DH196" s="5">
        <v>0.64689475177372902</v>
      </c>
      <c r="DI196" s="5">
        <v>-0.35797102480276999</v>
      </c>
      <c r="DJ196" s="5">
        <v>0.47125628143175102</v>
      </c>
      <c r="DK196" s="5">
        <v>-0.246846600138383</v>
      </c>
      <c r="DL196" s="5">
        <v>0.227960774092481</v>
      </c>
      <c r="DM196" s="5">
        <v>-7.5183213954978803E-2</v>
      </c>
      <c r="DN196" s="5">
        <v>0.39295657256851102</v>
      </c>
      <c r="DO196" s="5">
        <v>-0.179365208665272</v>
      </c>
      <c r="DP196" s="5">
        <v>0.21966656916512101</v>
      </c>
      <c r="DQ196" s="5">
        <v>-9.5570669116225901E-2</v>
      </c>
      <c r="DR196" s="5">
        <v>0.75830173106031395</v>
      </c>
      <c r="DS196" s="5">
        <v>-0.46993786112649999</v>
      </c>
      <c r="DT196" s="5">
        <v>8.9996379267108004E-2</v>
      </c>
      <c r="DU196" s="5">
        <v>-3.5060172098874902E-2</v>
      </c>
      <c r="DV196" s="5">
        <v>0.20375504322101801</v>
      </c>
      <c r="DW196" s="5">
        <v>-0.12908880094859199</v>
      </c>
      <c r="DX196" s="5">
        <v>0.60282003245412497</v>
      </c>
      <c r="DY196" s="5">
        <v>-0.33737737171180199</v>
      </c>
      <c r="DZ196" s="5">
        <v>0.51787616635101597</v>
      </c>
      <c r="EA196" s="5">
        <v>-0.143722038095808</v>
      </c>
      <c r="EB196" s="5">
        <v>0.15142932380500901</v>
      </c>
      <c r="EC196" s="5">
        <v>-5.6154949582849202E-2</v>
      </c>
      <c r="ED196" s="5">
        <v>0.197970943569549</v>
      </c>
      <c r="EE196" s="5">
        <v>-6.9442113179593798E-2</v>
      </c>
      <c r="EF196" s="5">
        <v>4.8082716627199498E-2</v>
      </c>
      <c r="EG196" s="5">
        <v>4.0350273332468998E-3</v>
      </c>
      <c r="EH196" s="5">
        <v>0.19192311931053599</v>
      </c>
      <c r="EI196" s="5">
        <v>-8.3258719598428496E-2</v>
      </c>
      <c r="EJ196" s="5">
        <v>0.21936567217466299</v>
      </c>
      <c r="EK196" s="5">
        <v>-0.101554218799494</v>
      </c>
      <c r="EL196" s="5">
        <v>0.14360211353238</v>
      </c>
      <c r="EM196" s="5">
        <v>-2.8976959547640499E-2</v>
      </c>
      <c r="EN196" s="5">
        <v>0.47922532316267002</v>
      </c>
      <c r="EO196" s="5">
        <v>-0.20922726203557901</v>
      </c>
      <c r="EP196" s="5">
        <v>8.7512557770907703E-2</v>
      </c>
      <c r="EQ196" s="5">
        <v>-4.8614392633713401E-2</v>
      </c>
      <c r="ER196" s="5">
        <v>0.16373475477879401</v>
      </c>
      <c r="ES196" s="5">
        <v>-6.6057998294306697E-2</v>
      </c>
      <c r="ET196" s="5">
        <v>2.8712325555006801E-2</v>
      </c>
      <c r="EU196" s="5">
        <v>-4.2183108344527303E-3</v>
      </c>
      <c r="EV196" s="5">
        <v>1.6089289371431399E-2</v>
      </c>
      <c r="EW196" s="5">
        <v>-1.68619852871865E-2</v>
      </c>
      <c r="EX196" s="5">
        <v>4.39599374925701E-2</v>
      </c>
      <c r="EY196" s="5">
        <v>7.0425096757841203E-3</v>
      </c>
      <c r="EZ196" s="5">
        <v>0.13635152912935</v>
      </c>
      <c r="FA196" s="5">
        <v>-4.8657072646057301E-2</v>
      </c>
      <c r="FB196" s="5">
        <v>0.71775857389045705</v>
      </c>
      <c r="FC196" s="5">
        <v>-0.415344556233947</v>
      </c>
      <c r="FD196" s="5">
        <v>0.145680234818756</v>
      </c>
      <c r="FE196" s="5">
        <v>-8.1346775763763299E-2</v>
      </c>
      <c r="FF196" s="5">
        <v>0.70919553977162597</v>
      </c>
      <c r="FG196" s="5">
        <v>-0.40948503564847999</v>
      </c>
      <c r="FH196" s="5">
        <v>0.111640953813736</v>
      </c>
      <c r="FI196" s="5">
        <v>-2.3437999634000301E-2</v>
      </c>
      <c r="FJ196" s="5">
        <v>0.19809388739988201</v>
      </c>
      <c r="FK196" s="5">
        <v>-8.4984126699127902E-2</v>
      </c>
      <c r="FL196" s="5">
        <v>0.541951372317929</v>
      </c>
      <c r="FM196" s="5">
        <v>-0.210536835267436</v>
      </c>
      <c r="FN196" s="5">
        <v>0.36171945690597102</v>
      </c>
      <c r="FO196" s="5">
        <v>-0.123002007016903</v>
      </c>
      <c r="FP196" s="5">
        <v>0.16453507994020999</v>
      </c>
      <c r="FQ196" s="5">
        <v>-6.4088922194362394E-2</v>
      </c>
      <c r="FR196" s="5">
        <v>0.11408413026146599</v>
      </c>
      <c r="FS196" s="5">
        <v>0.14167340598146899</v>
      </c>
      <c r="FT196" s="5">
        <v>0.22564317167176201</v>
      </c>
      <c r="FU196" s="5">
        <v>-9.5197916509851196E-2</v>
      </c>
      <c r="FV196" s="5">
        <v>0.734085214532468</v>
      </c>
      <c r="FW196" s="5">
        <v>-0.47632666346864999</v>
      </c>
      <c r="FX196" s="5">
        <v>6.7747293116418597E-2</v>
      </c>
      <c r="FY196" s="5">
        <v>-6.7906516930078004E-3</v>
      </c>
      <c r="FZ196" s="5">
        <v>0.27357951659773699</v>
      </c>
      <c r="GA196" s="5">
        <v>-0.121546995809953</v>
      </c>
      <c r="GB196" s="5">
        <v>0.81716229231986504</v>
      </c>
      <c r="GC196" s="5">
        <v>-0.53345632257131903</v>
      </c>
      <c r="GD196" s="5">
        <v>0.45886487868236903</v>
      </c>
      <c r="GE196" s="5">
        <v>-0.189694589673226</v>
      </c>
      <c r="GF196" s="5">
        <v>0.14542848964445601</v>
      </c>
      <c r="GG196" s="5">
        <v>-4.52430934582429E-2</v>
      </c>
      <c r="GH196" s="5">
        <v>0.28663553259624902</v>
      </c>
      <c r="GI196" s="5">
        <v>3.4129337330919801E-2</v>
      </c>
      <c r="GJ196" s="5">
        <v>1.305896318139E-2</v>
      </c>
      <c r="GK196" s="5">
        <v>1.44190760678244E-2</v>
      </c>
      <c r="GL196" s="5">
        <v>5.7607826772957497E-2</v>
      </c>
      <c r="GM196" s="5">
        <v>-2.4506843638830999E-2</v>
      </c>
      <c r="GN196" s="5">
        <v>1</v>
      </c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</row>
    <row r="197" spans="1:389" x14ac:dyDescent="0.45">
      <c r="A197" s="4" t="str">
        <f ca="1">"KOR / beta2dist in "&amp;CELL("address",'damages-1990'!$K$99)</f>
        <v>KOR / beta2dist in '[BHM betas v3pd.xlsx]damages-1990'!$K$99</v>
      </c>
      <c r="B197" s="6">
        <v>-0.17138282349247799</v>
      </c>
      <c r="C197" s="5">
        <v>0.22700770529744799</v>
      </c>
      <c r="D197" s="5">
        <v>5.0806710743044603E-2</v>
      </c>
      <c r="E197" s="5">
        <v>0.17621665319264901</v>
      </c>
      <c r="F197" s="5">
        <v>-0.42728562463588399</v>
      </c>
      <c r="G197" s="5">
        <v>0.48822573893182403</v>
      </c>
      <c r="H197" s="5">
        <v>-0.51601757230363698</v>
      </c>
      <c r="I197" s="5">
        <v>0.37567320774691199</v>
      </c>
      <c r="J197" s="5">
        <v>0.103062987833382</v>
      </c>
      <c r="K197" s="5">
        <v>0.19920930861168801</v>
      </c>
      <c r="L197" s="5">
        <v>-9.49665353423787E-2</v>
      </c>
      <c r="M197" s="5">
        <v>0.17381962477510801</v>
      </c>
      <c r="N197" s="5">
        <v>-0.28577816321501198</v>
      </c>
      <c r="O197" s="5">
        <v>5.3046480066472099E-2</v>
      </c>
      <c r="P197" s="5">
        <v>0.133958813334702</v>
      </c>
      <c r="Q197" s="5">
        <v>3.15990254213716E-2</v>
      </c>
      <c r="R197" s="5">
        <v>8.6522297707059603E-2</v>
      </c>
      <c r="S197" s="5">
        <v>0.143475703133008</v>
      </c>
      <c r="T197" s="5">
        <v>-0.51394705956195397</v>
      </c>
      <c r="U197" s="5">
        <v>0.40140942613116098</v>
      </c>
      <c r="V197" s="5">
        <v>-0.18858713477094199</v>
      </c>
      <c r="W197" s="5">
        <v>0.22196073715193401</v>
      </c>
      <c r="X197" s="5">
        <v>3.3428688953992702E-2</v>
      </c>
      <c r="Y197" s="5">
        <v>0.17565686486673199</v>
      </c>
      <c r="Z197" s="5">
        <v>-0.59213060241378501</v>
      </c>
      <c r="AA197" s="5">
        <v>0.56663160809465896</v>
      </c>
      <c r="AB197" s="5">
        <v>3.0915155242813401E-2</v>
      </c>
      <c r="AC197" s="5">
        <v>9.5411595631599594E-2</v>
      </c>
      <c r="AD197" s="5">
        <v>2.73514402269862E-3</v>
      </c>
      <c r="AE197" s="5">
        <v>0.115345710247305</v>
      </c>
      <c r="AF197" s="5">
        <v>0.28943558528392699</v>
      </c>
      <c r="AG197" s="5">
        <v>-7.5952058493106503E-2</v>
      </c>
      <c r="AH197" s="5">
        <v>-0.47124121726149598</v>
      </c>
      <c r="AI197" s="5">
        <v>0.49049118953825699</v>
      </c>
      <c r="AJ197" s="5">
        <v>0.106494247581104</v>
      </c>
      <c r="AK197" s="5">
        <v>0.20616040526625601</v>
      </c>
      <c r="AL197" s="5">
        <v>0.19824225329918699</v>
      </c>
      <c r="AM197" s="5">
        <v>-5.6113312633434498E-2</v>
      </c>
      <c r="AN197" s="5">
        <v>-0.517298390957173</v>
      </c>
      <c r="AO197" s="5">
        <v>0.45772446280866103</v>
      </c>
      <c r="AP197" s="5">
        <v>-0.61911904474877999</v>
      </c>
      <c r="AQ197" s="5">
        <v>0.495109732961382</v>
      </c>
      <c r="AR197" s="5">
        <v>0.202734557077037</v>
      </c>
      <c r="AS197" s="5">
        <v>-3.0961961596483099E-2</v>
      </c>
      <c r="AT197" s="5">
        <v>0.16434519216990501</v>
      </c>
      <c r="AU197" s="5">
        <v>-6.6864476910870899E-2</v>
      </c>
      <c r="AV197" s="5">
        <v>0.21522003601652701</v>
      </c>
      <c r="AW197" s="5">
        <v>1.70741463895054E-3</v>
      </c>
      <c r="AX197" s="5">
        <v>0.210690947522327</v>
      </c>
      <c r="AY197" s="5">
        <v>6.9441702135892597E-2</v>
      </c>
      <c r="AZ197" s="5">
        <v>0.133479984611827</v>
      </c>
      <c r="BA197" s="5">
        <v>2.0082187083929701E-2</v>
      </c>
      <c r="BB197" s="5">
        <v>4.5269256895860803E-2</v>
      </c>
      <c r="BC197" s="5">
        <v>0.216537722216261</v>
      </c>
      <c r="BD197" s="5">
        <v>-0.42106071333918699</v>
      </c>
      <c r="BE197" s="5">
        <v>0.44746657671797702</v>
      </c>
      <c r="BF197" s="5">
        <v>8.2770295304816E-2</v>
      </c>
      <c r="BG197" s="5">
        <v>0.12026780395999601</v>
      </c>
      <c r="BH197" s="5">
        <v>0.113712082073196</v>
      </c>
      <c r="BI197" s="5">
        <v>8.6973183833811196E-2</v>
      </c>
      <c r="BJ197" s="5">
        <v>-0.43061617932225799</v>
      </c>
      <c r="BK197" s="5">
        <v>8.6395782780938596E-2</v>
      </c>
      <c r="BL197" s="5">
        <v>-0.52328459016701301</v>
      </c>
      <c r="BM197" s="5">
        <v>0.39368289819397201</v>
      </c>
      <c r="BN197" s="5">
        <v>-0.26177511449343399</v>
      </c>
      <c r="BO197" s="5">
        <v>4.1282142379329298E-2</v>
      </c>
      <c r="BP197" s="5">
        <v>-0.60060167768671202</v>
      </c>
      <c r="BQ197" s="5">
        <v>0.49364671252279402</v>
      </c>
      <c r="BR197" s="5">
        <v>-7.5023741338039407E-2</v>
      </c>
      <c r="BS197" s="5">
        <v>0.188423605038777</v>
      </c>
      <c r="BT197" s="5">
        <v>0.126981025564251</v>
      </c>
      <c r="BU197" s="5">
        <v>9.2286653602193305E-2</v>
      </c>
      <c r="BV197" s="5">
        <v>1.8540477296874702E-2</v>
      </c>
      <c r="BW197" s="5">
        <v>0.22107994765066999</v>
      </c>
      <c r="BX197" s="5">
        <v>4.1283826362587799E-3</v>
      </c>
      <c r="BY197" s="5">
        <v>0.193770821634769</v>
      </c>
      <c r="BZ197" s="5">
        <v>6.3325687702455197E-2</v>
      </c>
      <c r="CA197" s="5">
        <v>0.158340862309722</v>
      </c>
      <c r="CB197" s="5">
        <v>7.5626406397083998E-2</v>
      </c>
      <c r="CC197" s="5">
        <v>9.01862795453168E-2</v>
      </c>
      <c r="CD197" s="5">
        <v>4.02920737341044E-2</v>
      </c>
      <c r="CE197" s="5">
        <v>4.64159554950134E-2</v>
      </c>
      <c r="CF197" s="5">
        <v>0.20210778678708199</v>
      </c>
      <c r="CG197" s="5">
        <v>-6.4363567498629495E-2</v>
      </c>
      <c r="CH197" s="5">
        <v>0.22550617519910501</v>
      </c>
      <c r="CI197" s="5">
        <v>-0.109708917711871</v>
      </c>
      <c r="CJ197" s="5">
        <v>0.14936042229024399</v>
      </c>
      <c r="CK197" s="5">
        <v>2.0435866731248E-2</v>
      </c>
      <c r="CL197" s="5">
        <v>-0.55478570908185099</v>
      </c>
      <c r="CM197" s="5">
        <v>0.46489537060189101</v>
      </c>
      <c r="CN197" s="5">
        <v>-0.60823257416032195</v>
      </c>
      <c r="CO197" s="5">
        <v>0.55438149927281699</v>
      </c>
      <c r="CP197" s="5">
        <v>-7.5513103030680498E-2</v>
      </c>
      <c r="CQ197" s="5">
        <v>0.17359102523137099</v>
      </c>
      <c r="CR197" s="5">
        <v>0.121631057417837</v>
      </c>
      <c r="CS197" s="5">
        <v>2.8351897192463199E-2</v>
      </c>
      <c r="CT197" s="5">
        <v>-0.554803954605121</v>
      </c>
      <c r="CU197" s="5">
        <v>0.46892820422301001</v>
      </c>
      <c r="CV197" s="5">
        <v>-6.4411573335438302E-2</v>
      </c>
      <c r="CW197" s="5">
        <v>0.223984375494202</v>
      </c>
      <c r="CX197" s="5">
        <v>0.137612622309986</v>
      </c>
      <c r="CY197" s="5">
        <v>9.2542020797580199E-2</v>
      </c>
      <c r="CZ197" s="5">
        <v>6.6909728830500406E-2</v>
      </c>
      <c r="DA197" s="5">
        <v>0.11789533211009599</v>
      </c>
      <c r="DB197" s="5">
        <v>0.24064519677312099</v>
      </c>
      <c r="DC197" s="5">
        <v>5.7164871751997297E-2</v>
      </c>
      <c r="DD197" s="5">
        <v>-4.6911934767064498E-2</v>
      </c>
      <c r="DE197" s="5">
        <v>0.19299810259178399</v>
      </c>
      <c r="DF197" s="5">
        <v>0.17964414883058599</v>
      </c>
      <c r="DG197" s="5">
        <v>-2.1167506525878899E-2</v>
      </c>
      <c r="DH197" s="5">
        <v>-0.310511309226426</v>
      </c>
      <c r="DI197" s="5">
        <v>0.436337757218213</v>
      </c>
      <c r="DJ197" s="5">
        <v>-0.55384922073056797</v>
      </c>
      <c r="DK197" s="5">
        <v>0.422813450320429</v>
      </c>
      <c r="DL197" s="5">
        <v>3.4954954351729501E-3</v>
      </c>
      <c r="DM197" s="5">
        <v>0.171083798674042</v>
      </c>
      <c r="DN197" s="5">
        <v>-0.51023047383797204</v>
      </c>
      <c r="DO197" s="5">
        <v>0.34112790621706102</v>
      </c>
      <c r="DP197" s="5">
        <v>-1.4268043769290001E-2</v>
      </c>
      <c r="DQ197" s="5">
        <v>0.15184575600751199</v>
      </c>
      <c r="DR197" s="5">
        <v>-0.54751075386576598</v>
      </c>
      <c r="DS197" s="5">
        <v>0.58677169176445598</v>
      </c>
      <c r="DT197" s="5">
        <v>9.1541782680066401E-3</v>
      </c>
      <c r="DU197" s="5">
        <v>8.0494271189958097E-2</v>
      </c>
      <c r="DV197" s="5">
        <v>-0.106037237592697</v>
      </c>
      <c r="DW197" s="5">
        <v>0.268606095265639</v>
      </c>
      <c r="DX197" s="5">
        <v>-0.58542145782264898</v>
      </c>
      <c r="DY197" s="5">
        <v>0.494146448142737</v>
      </c>
      <c r="DZ197" s="5">
        <v>-0.336182638087967</v>
      </c>
      <c r="EA197" s="5">
        <v>0.132770830578121</v>
      </c>
      <c r="EB197" s="5">
        <v>2.0301801870494199E-2</v>
      </c>
      <c r="EC197" s="5">
        <v>0.13719624848049899</v>
      </c>
      <c r="ED197" s="5">
        <v>2.7154276873113999E-5</v>
      </c>
      <c r="EE197" s="5">
        <v>0.15295498032212501</v>
      </c>
      <c r="EF197" s="5">
        <v>0.109442867764701</v>
      </c>
      <c r="EG197" s="5">
        <v>3.9668724896897399E-2</v>
      </c>
      <c r="EH197" s="5">
        <v>4.4251026350670401E-2</v>
      </c>
      <c r="EI197" s="5">
        <v>0.14576711909736001</v>
      </c>
      <c r="EJ197" s="5">
        <v>-6.8713958409834797E-3</v>
      </c>
      <c r="EK197" s="5">
        <v>0.18886550201521499</v>
      </c>
      <c r="EL197" s="5">
        <v>0.15776967063097999</v>
      </c>
      <c r="EM197" s="5">
        <v>4.50636929963836E-4</v>
      </c>
      <c r="EN197" s="5">
        <v>-0.14272076366884501</v>
      </c>
      <c r="EO197" s="5">
        <v>0.228124358097133</v>
      </c>
      <c r="EP197" s="5">
        <v>4.1787294620513997E-2</v>
      </c>
      <c r="EQ197" s="5">
        <v>0.116633046002886</v>
      </c>
      <c r="ER197" s="5">
        <v>0.13716717837631501</v>
      </c>
      <c r="ES197" s="5">
        <v>6.2699941489540098E-2</v>
      </c>
      <c r="ET197" s="5">
        <v>0.30224307540970102</v>
      </c>
      <c r="EU197" s="5">
        <v>-6.3682914900471704E-2</v>
      </c>
      <c r="EV197" s="5">
        <v>0.30170885892635302</v>
      </c>
      <c r="EW197" s="5">
        <v>-2.2948399804597699E-2</v>
      </c>
      <c r="EX197" s="5">
        <v>0.30918782663405697</v>
      </c>
      <c r="EY197" s="5">
        <v>-9.5881902513995698E-2</v>
      </c>
      <c r="EZ197" s="5">
        <v>0.13908790855410599</v>
      </c>
      <c r="FA197" s="5">
        <v>7.4105373389660598E-2</v>
      </c>
      <c r="FB197" s="5">
        <v>-0.47133935441324898</v>
      </c>
      <c r="FC197" s="5">
        <v>0.50011426692683503</v>
      </c>
      <c r="FD197" s="5">
        <v>1.46048595398696E-2</v>
      </c>
      <c r="FE197" s="5">
        <v>0.15388938563691901</v>
      </c>
      <c r="FF197" s="5">
        <v>-0.51985497620824805</v>
      </c>
      <c r="FG197" s="5">
        <v>0.52119306021744405</v>
      </c>
      <c r="FH197" s="5">
        <v>0.23144577348207801</v>
      </c>
      <c r="FI197" s="5">
        <v>-8.4926486938018395E-2</v>
      </c>
      <c r="FJ197" s="5">
        <v>0.10266819276823</v>
      </c>
      <c r="FK197" s="5">
        <v>0.14148215514990001</v>
      </c>
      <c r="FL197" s="5">
        <v>-0.47964245629758301</v>
      </c>
      <c r="FM197" s="5">
        <v>0.32854834188201998</v>
      </c>
      <c r="FN197" s="5">
        <v>-3.5214564942131397E-2</v>
      </c>
      <c r="FO197" s="5">
        <v>0.21235639250760499</v>
      </c>
      <c r="FP197" s="5">
        <v>0.139590659751893</v>
      </c>
      <c r="FQ197" s="5">
        <v>0.11677968224829199</v>
      </c>
      <c r="FR197" s="5">
        <v>-4.81641896988892E-2</v>
      </c>
      <c r="FS197" s="5">
        <v>-0.20138618244937601</v>
      </c>
      <c r="FT197" s="5">
        <v>0.13677800940148899</v>
      </c>
      <c r="FU197" s="5">
        <v>0.13249718079985401</v>
      </c>
      <c r="FV197" s="5">
        <v>-0.39577589975556898</v>
      </c>
      <c r="FW197" s="5">
        <v>0.50820540247653001</v>
      </c>
      <c r="FX197" s="5">
        <v>0.183958052946572</v>
      </c>
      <c r="FY197" s="5">
        <v>-1.6544906394977299E-2</v>
      </c>
      <c r="FZ197" s="5">
        <v>9.9306612700927305E-2</v>
      </c>
      <c r="GA197" s="5">
        <v>0.17369503227559599</v>
      </c>
      <c r="GB197" s="5">
        <v>-0.59755823038369504</v>
      </c>
      <c r="GC197" s="5">
        <v>0.70094755635831496</v>
      </c>
      <c r="GD197" s="5">
        <v>-0.44299517559894303</v>
      </c>
      <c r="GE197" s="5">
        <v>0.31013029646785201</v>
      </c>
      <c r="GF197" s="5">
        <v>0.16410077366884199</v>
      </c>
      <c r="GG197" s="5">
        <v>7.1271513042021103E-2</v>
      </c>
      <c r="GH197" s="5">
        <v>-0.22955467397026499</v>
      </c>
      <c r="GI197" s="5">
        <v>-9.5007096403909794E-2</v>
      </c>
      <c r="GJ197" s="5">
        <v>0.303049575700577</v>
      </c>
      <c r="GK197" s="5">
        <v>-8.85733891144804E-2</v>
      </c>
      <c r="GL197" s="5">
        <v>4.8389133457878798E-2</v>
      </c>
      <c r="GM197" s="5">
        <v>0.117656408414564</v>
      </c>
      <c r="GN197" s="5">
        <v>-0.79086715275864705</v>
      </c>
      <c r="GO197" s="5">
        <v>1</v>
      </c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</row>
    <row r="198" spans="1:389" x14ac:dyDescent="0.45">
      <c r="A198" s="4" t="str">
        <f ca="1">"KWT / beta1dist in "&amp;CELL("address",'damages-1990'!$J$100)</f>
        <v>KWT / beta1dist in '[BHM betas v3pd.xlsx]damages-1990'!$J$100</v>
      </c>
      <c r="B198" s="6">
        <v>0.33546750400817199</v>
      </c>
      <c r="C198" s="5">
        <v>-3.3482701147427199E-2</v>
      </c>
      <c r="D198" s="5">
        <v>0.45132175769751798</v>
      </c>
      <c r="E198" s="5">
        <v>-0.113955975489398</v>
      </c>
      <c r="F198" s="5">
        <v>0.12213848403410001</v>
      </c>
      <c r="G198" s="5">
        <v>0.13874491795412999</v>
      </c>
      <c r="H198" s="5">
        <v>-0.32947916404647198</v>
      </c>
      <c r="I198" s="5">
        <v>0.35439834815948201</v>
      </c>
      <c r="J198" s="5">
        <v>0.69567887688074204</v>
      </c>
      <c r="K198" s="5">
        <v>-0.423135141548244</v>
      </c>
      <c r="L198" s="5">
        <v>0.54149827184022103</v>
      </c>
      <c r="M198" s="5">
        <v>-0.27167918617506998</v>
      </c>
      <c r="N198" s="5">
        <v>-0.30330904855941598</v>
      </c>
      <c r="O198" s="5">
        <v>0.390134634251318</v>
      </c>
      <c r="P198" s="5">
        <v>0.16843283757310201</v>
      </c>
      <c r="Q198" s="5">
        <v>-3.6054849206361601E-2</v>
      </c>
      <c r="R198" s="5">
        <v>0.47410905648011697</v>
      </c>
      <c r="S198" s="5">
        <v>-0.13792405400847299</v>
      </c>
      <c r="T198" s="5">
        <v>-0.173255140155648</v>
      </c>
      <c r="U198" s="5">
        <v>0.209629554747323</v>
      </c>
      <c r="V198" s="5">
        <v>0.22998779612430501</v>
      </c>
      <c r="W198" s="5">
        <v>0.16002674882387499</v>
      </c>
      <c r="X198" s="5">
        <v>0.41942948693781401</v>
      </c>
      <c r="Y198" s="5">
        <v>-0.113356836921887</v>
      </c>
      <c r="Z198" s="5">
        <v>-0.11174483268162801</v>
      </c>
      <c r="AA198" s="5">
        <v>0.247009982408398</v>
      </c>
      <c r="AB198" s="5">
        <v>0.45199485830407499</v>
      </c>
      <c r="AC198" s="5">
        <v>-0.25753850406589501</v>
      </c>
      <c r="AD198" s="5">
        <v>0.54809726353972998</v>
      </c>
      <c r="AE198" s="5">
        <v>-0.31028298822065498</v>
      </c>
      <c r="AF198" s="5">
        <v>0.45490523803974098</v>
      </c>
      <c r="AG198" s="5">
        <v>-0.241176175534627</v>
      </c>
      <c r="AH198" s="5">
        <v>2.5061960010955099E-2</v>
      </c>
      <c r="AI198" s="5">
        <v>0.204436478361017</v>
      </c>
      <c r="AJ198" s="5">
        <v>0.77125909255157699</v>
      </c>
      <c r="AK198" s="5">
        <v>-0.510794034824675</v>
      </c>
      <c r="AL198" s="5">
        <v>0.26003789313196701</v>
      </c>
      <c r="AM198" s="5">
        <v>-7.3084770890011794E-2</v>
      </c>
      <c r="AN198" s="5">
        <v>-5.8724650209249302E-2</v>
      </c>
      <c r="AO198" s="5">
        <v>0.19126489713556899</v>
      </c>
      <c r="AP198" s="5">
        <v>-0.111993553941642</v>
      </c>
      <c r="AQ198" s="5">
        <v>0.12586082418807401</v>
      </c>
      <c r="AR198" s="5">
        <v>0.46306601096518601</v>
      </c>
      <c r="AS198" s="5">
        <v>-0.20088805446927699</v>
      </c>
      <c r="AT198" s="5">
        <v>0.26764663947522799</v>
      </c>
      <c r="AU198" s="5">
        <v>-7.1664758627322994E-2</v>
      </c>
      <c r="AV198" s="5">
        <v>0.540823878210277</v>
      </c>
      <c r="AW198" s="5">
        <v>-0.228660635547803</v>
      </c>
      <c r="AX198" s="5">
        <v>0.58833374300303098</v>
      </c>
      <c r="AY198" s="5">
        <v>-0.27940807358466502</v>
      </c>
      <c r="AZ198" s="5">
        <v>0.335996935467133</v>
      </c>
      <c r="BA198" s="5">
        <v>-0.22030188369965001</v>
      </c>
      <c r="BB198" s="5">
        <v>0.52098540022206297</v>
      </c>
      <c r="BC198" s="5">
        <v>-0.23475125337687899</v>
      </c>
      <c r="BD198" s="5">
        <v>0.13581944744840599</v>
      </c>
      <c r="BE198" s="5">
        <v>0.16399773255641301</v>
      </c>
      <c r="BF198" s="5">
        <v>0.43160685352004002</v>
      </c>
      <c r="BG198" s="5">
        <v>-0.15089729604233601</v>
      </c>
      <c r="BH198" s="5">
        <v>0.58170462225602204</v>
      </c>
      <c r="BI198" s="5">
        <v>-0.31675613230475502</v>
      </c>
      <c r="BJ198" s="5">
        <v>-0.24334770900389599</v>
      </c>
      <c r="BK198" s="5">
        <v>0.14484554892927201</v>
      </c>
      <c r="BL198" s="5">
        <v>-0.207088229038144</v>
      </c>
      <c r="BM198" s="5">
        <v>0.24058702881583599</v>
      </c>
      <c r="BN198" s="5">
        <v>-0.15901069750014299</v>
      </c>
      <c r="BO198" s="5">
        <v>0.28316214384497101</v>
      </c>
      <c r="BP198" s="5">
        <v>-0.16043745124255801</v>
      </c>
      <c r="BQ198" s="5">
        <v>0.29027206443090298</v>
      </c>
      <c r="BR198" s="5">
        <v>0.44318295129303498</v>
      </c>
      <c r="BS198" s="5">
        <v>-0.257861465593619</v>
      </c>
      <c r="BT198" s="5">
        <v>0.60374430141695901</v>
      </c>
      <c r="BU198" s="5">
        <v>-0.354624850351756</v>
      </c>
      <c r="BV198" s="5">
        <v>0.545364498506683</v>
      </c>
      <c r="BW198" s="5">
        <v>-0.25634143212912303</v>
      </c>
      <c r="BX198" s="5">
        <v>0.48260851465488103</v>
      </c>
      <c r="BY198" s="5">
        <v>-0.24856449448485601</v>
      </c>
      <c r="BZ198" s="5">
        <v>0.50476354427260905</v>
      </c>
      <c r="CA198" s="5">
        <v>-0.21021726080211101</v>
      </c>
      <c r="CB198" s="5">
        <v>0.192517450163286</v>
      </c>
      <c r="CC198" s="5">
        <v>-2.3480738905676601E-2</v>
      </c>
      <c r="CD198" s="5">
        <v>0.21985529179421001</v>
      </c>
      <c r="CE198" s="5">
        <v>-1.6576112525522501E-2</v>
      </c>
      <c r="CF198" s="5">
        <v>0.42642592404808499</v>
      </c>
      <c r="CG198" s="5">
        <v>-0.20755048671055301</v>
      </c>
      <c r="CH198" s="5">
        <v>0.19879018207892599</v>
      </c>
      <c r="CI198" s="5">
        <v>-3.8662082001047697E-2</v>
      </c>
      <c r="CJ198" s="5">
        <v>0.36916155694693598</v>
      </c>
      <c r="CK198" s="5">
        <v>-0.13648827789610901</v>
      </c>
      <c r="CL198" s="5">
        <v>-0.128585376106467</v>
      </c>
      <c r="CM198" s="5">
        <v>0.20307557016944</v>
      </c>
      <c r="CN198" s="5">
        <v>-0.13321316143960399</v>
      </c>
      <c r="CO198" s="5">
        <v>0.23962913454949</v>
      </c>
      <c r="CP198" s="5">
        <v>0.53561107573407296</v>
      </c>
      <c r="CQ198" s="5">
        <v>-0.318714576419244</v>
      </c>
      <c r="CR198" s="5">
        <v>0.196347816599479</v>
      </c>
      <c r="CS198" s="5">
        <v>-5.47156696071859E-2</v>
      </c>
      <c r="CT198" s="5">
        <v>-0.12796820246461801</v>
      </c>
      <c r="CU198" s="5">
        <v>0.15392600542014301</v>
      </c>
      <c r="CV198" s="5">
        <v>0.32399088773400098</v>
      </c>
      <c r="CW198" s="5">
        <v>-0.14532686392073699</v>
      </c>
      <c r="CX198" s="5">
        <v>0.65828259587528204</v>
      </c>
      <c r="CY198" s="5">
        <v>-0.36151370779199399</v>
      </c>
      <c r="CZ198" s="5">
        <v>0.36955597738530699</v>
      </c>
      <c r="DA198" s="5">
        <v>-6.9106848469507501E-2</v>
      </c>
      <c r="DB198" s="5">
        <v>0.47198893041261902</v>
      </c>
      <c r="DC198" s="5">
        <v>-0.100718989932741</v>
      </c>
      <c r="DD198" s="5">
        <v>0.54520318111120303</v>
      </c>
      <c r="DE198" s="5">
        <v>-0.29084253587000403</v>
      </c>
      <c r="DF198" s="5">
        <v>0.57726098509161305</v>
      </c>
      <c r="DG198" s="5">
        <v>-0.310464913762726</v>
      </c>
      <c r="DH198" s="5">
        <v>0.263036656166931</v>
      </c>
      <c r="DI198" s="5">
        <v>3.0560844891580102E-2</v>
      </c>
      <c r="DJ198" s="5">
        <v>-0.124701870267555</v>
      </c>
      <c r="DK198" s="5">
        <v>0.10294550818769201</v>
      </c>
      <c r="DL198" s="5">
        <v>0.42553012328747097</v>
      </c>
      <c r="DM198" s="5">
        <v>-0.16064479353740799</v>
      </c>
      <c r="DN198" s="5">
        <v>-0.20149238858570701</v>
      </c>
      <c r="DO198" s="5">
        <v>0.115821900754773</v>
      </c>
      <c r="DP198" s="5">
        <v>0.40340033843762901</v>
      </c>
      <c r="DQ198" s="5">
        <v>-0.21773645435299599</v>
      </c>
      <c r="DR198" s="5">
        <v>2.59889949143822E-3</v>
      </c>
      <c r="DS198" s="5">
        <v>0.21064188784020299</v>
      </c>
      <c r="DT198" s="5">
        <v>0.43218923130658998</v>
      </c>
      <c r="DU198" s="5">
        <v>-0.27591283494117602</v>
      </c>
      <c r="DV198" s="5">
        <v>0.280522534982586</v>
      </c>
      <c r="DW198" s="5">
        <v>-7.8428750542162404E-2</v>
      </c>
      <c r="DX198" s="5">
        <v>-0.130961242167176</v>
      </c>
      <c r="DY198" s="5">
        <v>0.15866434390154699</v>
      </c>
      <c r="DZ198" s="5">
        <v>-0.23836748262860599</v>
      </c>
      <c r="EA198" s="5">
        <v>0.35181011450216199</v>
      </c>
      <c r="EB198" s="5">
        <v>0.52465073656205896</v>
      </c>
      <c r="EC198" s="5">
        <v>-0.28772920737781499</v>
      </c>
      <c r="ED198" s="5">
        <v>0.52534237084616697</v>
      </c>
      <c r="EE198" s="5">
        <v>-0.27646217309052501</v>
      </c>
      <c r="EF198" s="5">
        <v>0.18515959405155399</v>
      </c>
      <c r="EG198" s="5">
        <v>-5.05489728328717E-2</v>
      </c>
      <c r="EH198" s="5">
        <v>0.562818754661912</v>
      </c>
      <c r="EI198" s="5">
        <v>-0.267811375438333</v>
      </c>
      <c r="EJ198" s="5">
        <v>0.58776934480949505</v>
      </c>
      <c r="EK198" s="5">
        <v>-0.27998301202658599</v>
      </c>
      <c r="EL198" s="5">
        <v>0.56217245739604105</v>
      </c>
      <c r="EM198" s="5">
        <v>-0.353876107259461</v>
      </c>
      <c r="EN198" s="5">
        <v>0.31718709436811099</v>
      </c>
      <c r="EO198" s="5">
        <v>-4.6309858307011502E-2</v>
      </c>
      <c r="EP198" s="5">
        <v>0.34667240197384702</v>
      </c>
      <c r="EQ198" s="5">
        <v>-0.18772947484597699</v>
      </c>
      <c r="ER198" s="5">
        <v>0.48570085824257703</v>
      </c>
      <c r="ES198" s="5">
        <v>-0.18592249127492699</v>
      </c>
      <c r="ET198" s="5">
        <v>0.402657911138875</v>
      </c>
      <c r="EU198" s="5">
        <v>-0.186888420161265</v>
      </c>
      <c r="EV198" s="5">
        <v>0.45748801271943201</v>
      </c>
      <c r="EW198" s="5">
        <v>-0.215752286534033</v>
      </c>
      <c r="EX198" s="5">
        <v>0.31159598374006098</v>
      </c>
      <c r="EY198" s="5">
        <v>-0.114730103105841</v>
      </c>
      <c r="EZ198" s="5">
        <v>0.48956337048503801</v>
      </c>
      <c r="FA198" s="5">
        <v>-0.21665366380159201</v>
      </c>
      <c r="FB198" s="5">
        <v>5.6471340027205601E-2</v>
      </c>
      <c r="FC198" s="5">
        <v>0.156459508987845</v>
      </c>
      <c r="FD198" s="5">
        <v>0.31374878559171099</v>
      </c>
      <c r="FE198" s="5">
        <v>-0.13289166521967899</v>
      </c>
      <c r="FF198" s="5">
        <v>7.4113255347999099E-3</v>
      </c>
      <c r="FG198" s="5">
        <v>0.16525453794591999</v>
      </c>
      <c r="FH198" s="5">
        <v>0.56614072263008197</v>
      </c>
      <c r="FI198" s="5">
        <v>-0.434057309759114</v>
      </c>
      <c r="FJ198" s="5">
        <v>0.441418186215568</v>
      </c>
      <c r="FK198" s="5">
        <v>-0.10406397075325</v>
      </c>
      <c r="FL198" s="5">
        <v>-7.7362353438564693E-2</v>
      </c>
      <c r="FM198" s="5">
        <v>0.10702210193775</v>
      </c>
      <c r="FN198" s="5">
        <v>0.67243569189280195</v>
      </c>
      <c r="FO198" s="5">
        <v>-0.38344877479043199</v>
      </c>
      <c r="FP198" s="5">
        <v>0.81900213849164505</v>
      </c>
      <c r="FQ198" s="5">
        <v>-0.56085992166393295</v>
      </c>
      <c r="FR198" s="5">
        <v>-0.16982682687180201</v>
      </c>
      <c r="FS198" s="5">
        <v>4.9163902025693103E-2</v>
      </c>
      <c r="FT198" s="5">
        <v>0.548826459373981</v>
      </c>
      <c r="FU198" s="5">
        <v>-0.21922091672125299</v>
      </c>
      <c r="FV198" s="5">
        <v>0.19199999762714801</v>
      </c>
      <c r="FW198" s="5">
        <v>4.7524832537325E-2</v>
      </c>
      <c r="FX198" s="5">
        <v>0.34635090977110899</v>
      </c>
      <c r="FY198" s="5">
        <v>-0.157023820903756</v>
      </c>
      <c r="FZ198" s="5">
        <v>0.59471354110472097</v>
      </c>
      <c r="GA198" s="5">
        <v>-0.25346240687277499</v>
      </c>
      <c r="GB198" s="5">
        <v>3.06331038957923E-2</v>
      </c>
      <c r="GC198" s="5">
        <v>0.25029316175778998</v>
      </c>
      <c r="GD198" s="5">
        <v>-0.337215862295905</v>
      </c>
      <c r="GE198" s="5">
        <v>0.391243032700136</v>
      </c>
      <c r="GF198" s="5">
        <v>0.30445617028400002</v>
      </c>
      <c r="GG198" s="5">
        <v>-5.6570536383770999E-2</v>
      </c>
      <c r="GH198" s="5">
        <v>-0.36023302358314302</v>
      </c>
      <c r="GI198" s="5">
        <v>0.30923061830892501</v>
      </c>
      <c r="GJ198" s="5">
        <v>0.38951426038674603</v>
      </c>
      <c r="GK198" s="5">
        <v>-0.16135932831546401</v>
      </c>
      <c r="GL198" s="5">
        <v>0.24666210605868799</v>
      </c>
      <c r="GM198" s="5">
        <v>-0.11928076045118401</v>
      </c>
      <c r="GN198" s="5">
        <v>0.119300118680447</v>
      </c>
      <c r="GO198" s="5">
        <v>0.14403267366585901</v>
      </c>
      <c r="GP198" s="5">
        <v>1</v>
      </c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</row>
    <row r="199" spans="1:389" x14ac:dyDescent="0.45">
      <c r="A199" s="4" t="str">
        <f ca="1">"KWT / beta2dist in "&amp;CELL("address",'damages-1990'!$K$100)</f>
        <v>KWT / beta2dist in '[BHM betas v3pd.xlsx]damages-1990'!$K$100</v>
      </c>
      <c r="B199" s="6">
        <v>-0.21778375060799501</v>
      </c>
      <c r="C199" s="5">
        <v>0.350930109674221</v>
      </c>
      <c r="D199" s="5">
        <v>-9.2126203499196299E-2</v>
      </c>
      <c r="E199" s="5">
        <v>0.207296968583536</v>
      </c>
      <c r="F199" s="5">
        <v>-3.8376446610888099E-2</v>
      </c>
      <c r="G199" s="5">
        <v>6.6932702452038098E-2</v>
      </c>
      <c r="H199" s="5">
        <v>0.12250243562235801</v>
      </c>
      <c r="I199" s="5">
        <v>-0.21860658166647101</v>
      </c>
      <c r="J199" s="5">
        <v>-0.37406266500001201</v>
      </c>
      <c r="K199" s="5">
        <v>0.57427504010566</v>
      </c>
      <c r="L199" s="5">
        <v>-0.29744887792248997</v>
      </c>
      <c r="M199" s="5">
        <v>0.42418149695766</v>
      </c>
      <c r="N199" s="5">
        <v>0.31134201829690999</v>
      </c>
      <c r="O199" s="5">
        <v>-0.44921817548693999</v>
      </c>
      <c r="P199" s="5">
        <v>1.88761839388535E-2</v>
      </c>
      <c r="Q199" s="5">
        <v>0.12568200117393599</v>
      </c>
      <c r="R199" s="5">
        <v>-0.108146183527828</v>
      </c>
      <c r="S199" s="5">
        <v>0.21916532721332499</v>
      </c>
      <c r="T199" s="5">
        <v>2.2116975179701799E-2</v>
      </c>
      <c r="U199" s="5">
        <v>-7.5764291984483895E-2</v>
      </c>
      <c r="V199" s="5">
        <v>-6.0654567024750999E-2</v>
      </c>
      <c r="W199" s="5">
        <v>5.5323828472366901E-2</v>
      </c>
      <c r="X199" s="5">
        <v>-7.1986097975343194E-2</v>
      </c>
      <c r="Y199" s="5">
        <v>0.207988323214296</v>
      </c>
      <c r="Z199" s="5">
        <v>4.7956702847029499E-2</v>
      </c>
      <c r="AA199" s="5">
        <v>-7.2266004503546297E-2</v>
      </c>
      <c r="AB199" s="5">
        <v>-0.21369790344098299</v>
      </c>
      <c r="AC199" s="5">
        <v>0.36985568402319102</v>
      </c>
      <c r="AD199" s="5">
        <v>-0.37733731828003803</v>
      </c>
      <c r="AE199" s="5">
        <v>0.49903583581939398</v>
      </c>
      <c r="AF199" s="5">
        <v>-0.11056246741947599</v>
      </c>
      <c r="AG199" s="5">
        <v>0.277186209349226</v>
      </c>
      <c r="AH199" s="5">
        <v>1.23284276613751E-2</v>
      </c>
      <c r="AI199" s="5">
        <v>-1.37749048872355E-2</v>
      </c>
      <c r="AJ199" s="5">
        <v>-0.51469205853075295</v>
      </c>
      <c r="AK199" s="5">
        <v>0.72374878637687401</v>
      </c>
      <c r="AL199" s="5">
        <v>0.13549775402584899</v>
      </c>
      <c r="AM199" s="5">
        <v>-8.9184616461783398E-2</v>
      </c>
      <c r="AN199" s="5">
        <v>1.2830210742442699E-2</v>
      </c>
      <c r="AO199" s="5">
        <v>-2.7363927815817E-2</v>
      </c>
      <c r="AP199" s="5">
        <v>-0.152417467683122</v>
      </c>
      <c r="AQ199" s="5">
        <v>0.145609617115109</v>
      </c>
      <c r="AR199" s="5">
        <v>-6.13478909851276E-2</v>
      </c>
      <c r="AS199" s="5">
        <v>0.14087377168475401</v>
      </c>
      <c r="AT199" s="5">
        <v>5.3995239449626503E-2</v>
      </c>
      <c r="AU199" s="5">
        <v>-2.3658269951042699E-2</v>
      </c>
      <c r="AV199" s="5">
        <v>-0.12141248030462599</v>
      </c>
      <c r="AW199" s="5">
        <v>0.26969803542359999</v>
      </c>
      <c r="AX199" s="5">
        <v>-0.16141127487957299</v>
      </c>
      <c r="AY199" s="5">
        <v>0.29696802125746002</v>
      </c>
      <c r="AZ199" s="5">
        <v>-0.14933167883109399</v>
      </c>
      <c r="BA199" s="5">
        <v>0.303291528526212</v>
      </c>
      <c r="BB199" s="5">
        <v>-0.17285447155250599</v>
      </c>
      <c r="BC199" s="5">
        <v>0.34738707530221902</v>
      </c>
      <c r="BD199" s="5">
        <v>-0.144371454295846</v>
      </c>
      <c r="BE199" s="5">
        <v>0.234138706917045</v>
      </c>
      <c r="BF199" s="5">
        <v>-0.149671369469289</v>
      </c>
      <c r="BG199" s="5">
        <v>0.24541513826153599</v>
      </c>
      <c r="BH199" s="5">
        <v>-0.21691351201849399</v>
      </c>
      <c r="BI199" s="5">
        <v>0.39102299778406202</v>
      </c>
      <c r="BJ199" s="5">
        <v>-9.5141104965454207E-2</v>
      </c>
      <c r="BK199" s="5">
        <v>-4.3441945804176998E-2</v>
      </c>
      <c r="BL199" s="5">
        <v>3.4324757311087403E-2</v>
      </c>
      <c r="BM199" s="5">
        <v>-0.122027498541356</v>
      </c>
      <c r="BN199" s="5">
        <v>9.0271330761841503E-2</v>
      </c>
      <c r="BO199" s="5">
        <v>-0.160014256579425</v>
      </c>
      <c r="BP199" s="5">
        <v>-5.4265859309346597E-2</v>
      </c>
      <c r="BQ199" s="5">
        <v>6.0737249627606004E-3</v>
      </c>
      <c r="BR199" s="5">
        <v>-0.26357701322699501</v>
      </c>
      <c r="BS199" s="5">
        <v>0.427079691089639</v>
      </c>
      <c r="BT199" s="5">
        <v>-0.23320957833179901</v>
      </c>
      <c r="BU199" s="5">
        <v>0.44624559881227799</v>
      </c>
      <c r="BV199" s="5">
        <v>-0.20601009148115401</v>
      </c>
      <c r="BW199" s="5">
        <v>0.36861441089741898</v>
      </c>
      <c r="BX199" s="5">
        <v>-0.18308749714258099</v>
      </c>
      <c r="BY199" s="5">
        <v>0.35149712129238903</v>
      </c>
      <c r="BZ199" s="5">
        <v>-0.15673277114078801</v>
      </c>
      <c r="CA199" s="5">
        <v>0.25998924610896401</v>
      </c>
      <c r="CB199" s="5">
        <v>0.11281439330585</v>
      </c>
      <c r="CC199" s="5">
        <v>3.0666656320492001E-2</v>
      </c>
      <c r="CD199" s="5">
        <v>-8.2267551577367808E-3</v>
      </c>
      <c r="CE199" s="5">
        <v>5.9092623677181599E-2</v>
      </c>
      <c r="CF199" s="5">
        <v>-0.122094871388158</v>
      </c>
      <c r="CG199" s="5">
        <v>0.19158497017467199</v>
      </c>
      <c r="CH199" s="5">
        <v>0.205927520597005</v>
      </c>
      <c r="CI199" s="5">
        <v>-0.15359831825633999</v>
      </c>
      <c r="CJ199" s="5">
        <v>-0.141516308599585</v>
      </c>
      <c r="CK199" s="5">
        <v>0.23444264423913899</v>
      </c>
      <c r="CL199" s="5">
        <v>1.23998040690881E-2</v>
      </c>
      <c r="CM199" s="5">
        <v>-5.30199744909014E-2</v>
      </c>
      <c r="CN199" s="5">
        <v>3.2008027613264399E-2</v>
      </c>
      <c r="CO199" s="5">
        <v>-6.8572574624671506E-2</v>
      </c>
      <c r="CP199" s="5">
        <v>-0.40930522549423498</v>
      </c>
      <c r="CQ199" s="5">
        <v>0.48146997542409697</v>
      </c>
      <c r="CR199" s="5">
        <v>1.5086878477522299E-2</v>
      </c>
      <c r="CS199" s="5">
        <v>0.13305657920890801</v>
      </c>
      <c r="CT199" s="5">
        <v>-1.2006331362168301E-2</v>
      </c>
      <c r="CU199" s="5">
        <v>8.1473943038423407E-3</v>
      </c>
      <c r="CV199" s="5">
        <v>-0.16058622191681499</v>
      </c>
      <c r="CW199" s="5">
        <v>0.28612900003283598</v>
      </c>
      <c r="CX199" s="5">
        <v>-0.40569511839897998</v>
      </c>
      <c r="CY199" s="5">
        <v>0.56300912526506297</v>
      </c>
      <c r="CZ199" s="5">
        <v>-1.1480037493994601E-2</v>
      </c>
      <c r="DA199" s="5">
        <v>7.3996726449659295E-2</v>
      </c>
      <c r="DB199" s="5">
        <v>-0.12681965908012899</v>
      </c>
      <c r="DC199" s="5">
        <v>0.25827181405413602</v>
      </c>
      <c r="DD199" s="5">
        <v>-0.41545306326397602</v>
      </c>
      <c r="DE199" s="5">
        <v>0.51949588367261401</v>
      </c>
      <c r="DF199" s="5">
        <v>-0.239611681237722</v>
      </c>
      <c r="DG199" s="5">
        <v>0.34073761350243598</v>
      </c>
      <c r="DH199" s="5">
        <v>-8.0381630009220204E-2</v>
      </c>
      <c r="DI199" s="5">
        <v>0.155898691527735</v>
      </c>
      <c r="DJ199" s="5">
        <v>-0.160386085127672</v>
      </c>
      <c r="DK199" s="5">
        <v>0.160297985268852</v>
      </c>
      <c r="DL199" s="5">
        <v>-9.9850775865787E-2</v>
      </c>
      <c r="DM199" s="5">
        <v>0.27586236869957098</v>
      </c>
      <c r="DN199" s="5">
        <v>-0.12717145149027101</v>
      </c>
      <c r="DO199" s="5">
        <v>0.12787423008517201</v>
      </c>
      <c r="DP199" s="5">
        <v>-0.13305406858879601</v>
      </c>
      <c r="DQ199" s="5">
        <v>0.27365268951795901</v>
      </c>
      <c r="DR199" s="5">
        <v>8.2958477818334698E-3</v>
      </c>
      <c r="DS199" s="5">
        <v>-4.2107474155268602E-3</v>
      </c>
      <c r="DT199" s="5">
        <v>-0.31014442183995</v>
      </c>
      <c r="DU199" s="5">
        <v>0.36547595126240801</v>
      </c>
      <c r="DV199" s="5">
        <v>-7.2795102425480193E-2</v>
      </c>
      <c r="DW199" s="5">
        <v>0.21041749697090001</v>
      </c>
      <c r="DX199" s="5">
        <v>-7.0848526533127995E-2</v>
      </c>
      <c r="DY199" s="5">
        <v>9.66352463912592E-2</v>
      </c>
      <c r="DZ199" s="5">
        <v>0.22439384180721</v>
      </c>
      <c r="EA199" s="5">
        <v>-0.348151177029209</v>
      </c>
      <c r="EB199" s="5">
        <v>-0.287781127635515</v>
      </c>
      <c r="EC199" s="5">
        <v>0.42632242154606798</v>
      </c>
      <c r="ED199" s="5">
        <v>-0.257789766078589</v>
      </c>
      <c r="EE199" s="5">
        <v>0.40958335755375003</v>
      </c>
      <c r="EF199" s="5">
        <v>-3.9588126524061004E-3</v>
      </c>
      <c r="EG199" s="5">
        <v>0.14060482308737801</v>
      </c>
      <c r="EH199" s="5">
        <v>-0.24254718011626999</v>
      </c>
      <c r="EI199" s="5">
        <v>0.38146092181225499</v>
      </c>
      <c r="EJ199" s="5">
        <v>-0.30576819758254198</v>
      </c>
      <c r="EK199" s="5">
        <v>0.42616600029791701</v>
      </c>
      <c r="EL199" s="5">
        <v>-0.16151037504508201</v>
      </c>
      <c r="EM199" s="5">
        <v>0.34274904489584601</v>
      </c>
      <c r="EN199" s="5">
        <v>-0.117674311565685</v>
      </c>
      <c r="EO199" s="5">
        <v>0.16375731887870901</v>
      </c>
      <c r="EP199" s="5">
        <v>-0.17378080669132401</v>
      </c>
      <c r="EQ199" s="5">
        <v>0.290252172828459</v>
      </c>
      <c r="ER199" s="5">
        <v>-9.4825701367982407E-2</v>
      </c>
      <c r="ES199" s="5">
        <v>0.182991103765927</v>
      </c>
      <c r="ET199" s="5">
        <v>3.1762816986454202E-2</v>
      </c>
      <c r="EU199" s="5">
        <v>0.116663281811992</v>
      </c>
      <c r="EV199" s="5">
        <v>-6.2191644429799103E-2</v>
      </c>
      <c r="EW199" s="5">
        <v>0.206942156672655</v>
      </c>
      <c r="EX199" s="5">
        <v>0.113316425153787</v>
      </c>
      <c r="EY199" s="5">
        <v>3.1754211667487098E-2</v>
      </c>
      <c r="EZ199" s="5">
        <v>-0.136639849575833</v>
      </c>
      <c r="FA199" s="5">
        <v>0.26867890476805101</v>
      </c>
      <c r="FB199" s="5">
        <v>4.0494064048697603E-3</v>
      </c>
      <c r="FC199" s="5">
        <v>1.3416056404773599E-2</v>
      </c>
      <c r="FD199" s="5">
        <v>-5.4482845194014001E-2</v>
      </c>
      <c r="FE199" s="5">
        <v>0.19487823726832501</v>
      </c>
      <c r="FF199" s="5">
        <v>8.4082328797159295E-4</v>
      </c>
      <c r="FG199" s="5">
        <v>1.30929441636013E-2</v>
      </c>
      <c r="FH199" s="5">
        <v>-0.108969920643799</v>
      </c>
      <c r="FI199" s="5">
        <v>0.33550360365751303</v>
      </c>
      <c r="FJ199" s="5">
        <v>-0.109398658806341</v>
      </c>
      <c r="FK199" s="5">
        <v>0.247530949906031</v>
      </c>
      <c r="FL199" s="5">
        <v>-8.7357211525242798E-2</v>
      </c>
      <c r="FM199" s="5">
        <v>0.114574093483588</v>
      </c>
      <c r="FN199" s="5">
        <v>-0.48099281867398203</v>
      </c>
      <c r="FO199" s="5">
        <v>0.65645411689861499</v>
      </c>
      <c r="FP199" s="5">
        <v>-0.56570566746776796</v>
      </c>
      <c r="FQ199" s="5">
        <v>0.772261661113683</v>
      </c>
      <c r="FR199" s="5">
        <v>8.1944614776651603E-2</v>
      </c>
      <c r="FS199" s="5">
        <v>-5.5192634390095599E-2</v>
      </c>
      <c r="FT199" s="5">
        <v>-0.24430017036771501</v>
      </c>
      <c r="FU199" s="5">
        <v>0.397483924531982</v>
      </c>
      <c r="FV199" s="5">
        <v>-3.95631288455578E-2</v>
      </c>
      <c r="FW199" s="5">
        <v>0.12228317691415801</v>
      </c>
      <c r="FX199" s="5">
        <v>3.2744164894949199E-3</v>
      </c>
      <c r="FY199" s="5">
        <v>0.117573787236035</v>
      </c>
      <c r="FZ199" s="5">
        <v>-0.275397042367514</v>
      </c>
      <c r="GA199" s="5">
        <v>0.44623891165401502</v>
      </c>
      <c r="GB199" s="5">
        <v>-1.2936158549108699E-2</v>
      </c>
      <c r="GC199" s="5">
        <v>2.1325599713317898E-2</v>
      </c>
      <c r="GD199" s="5">
        <v>0.14718597878752199</v>
      </c>
      <c r="GE199" s="5">
        <v>-0.201119874775608</v>
      </c>
      <c r="GF199" s="5">
        <v>0.13488614562000301</v>
      </c>
      <c r="GG199" s="5">
        <v>6.7767875619985499E-2</v>
      </c>
      <c r="GH199" s="5">
        <v>0.204754775563075</v>
      </c>
      <c r="GI199" s="5">
        <v>-0.328967355508201</v>
      </c>
      <c r="GJ199" s="5">
        <v>4.6087658853844297E-2</v>
      </c>
      <c r="GK199" s="5">
        <v>6.6030677928514997E-2</v>
      </c>
      <c r="GL199" s="5">
        <v>-0.11671502727783099</v>
      </c>
      <c r="GM199" s="5">
        <v>0.26150958008208502</v>
      </c>
      <c r="GN199" s="5">
        <v>-8.0128067416836604E-2</v>
      </c>
      <c r="GO199" s="5">
        <v>0.16048819200233</v>
      </c>
      <c r="GP199" s="5">
        <v>-0.76010681874372299</v>
      </c>
      <c r="GQ199" s="5">
        <v>1</v>
      </c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</row>
    <row r="200" spans="1:389" x14ac:dyDescent="0.45">
      <c r="A200" s="4" t="str">
        <f ca="1">"LAO / beta1dist in "&amp;CELL("address",'damages-1990'!$J$101)</f>
        <v>LAO / beta1dist in '[BHM betas v3pd.xlsx]damages-1990'!$J$101</v>
      </c>
      <c r="B200" s="6">
        <v>0.16417954844778701</v>
      </c>
      <c r="C200" s="5">
        <v>0.26931985802882202</v>
      </c>
      <c r="D200" s="5">
        <v>0.57060333331657298</v>
      </c>
      <c r="E200" s="5">
        <v>-0.183571415043397</v>
      </c>
      <c r="F200" s="5">
        <v>0.100949897759714</v>
      </c>
      <c r="G200" s="5">
        <v>0.20295566419010599</v>
      </c>
      <c r="H200" s="5">
        <v>-0.19030125168760001</v>
      </c>
      <c r="I200" s="5">
        <v>0.14375743597562299</v>
      </c>
      <c r="J200" s="5">
        <v>0.43965001606175502</v>
      </c>
      <c r="K200" s="5">
        <v>-2.3553379576530201E-2</v>
      </c>
      <c r="L200" s="5">
        <v>0.38569809161672503</v>
      </c>
      <c r="M200" s="5">
        <v>-2.6297603720637899E-2</v>
      </c>
      <c r="N200" s="5">
        <v>4.11859645135891E-2</v>
      </c>
      <c r="O200" s="5">
        <v>-3.11513637599353E-2</v>
      </c>
      <c r="P200" s="5">
        <v>0.35756832595101401</v>
      </c>
      <c r="Q200" s="5">
        <v>-0.15018374865192799</v>
      </c>
      <c r="R200" s="5">
        <v>0.51939884992863605</v>
      </c>
      <c r="S200" s="5">
        <v>-0.13490298383023699</v>
      </c>
      <c r="T200" s="5">
        <v>-2.66569376827153E-2</v>
      </c>
      <c r="U200" s="5">
        <v>3.4810171690540799E-2</v>
      </c>
      <c r="V200" s="5">
        <v>0.21207833591575601</v>
      </c>
      <c r="W200" s="5">
        <v>0.194703387130266</v>
      </c>
      <c r="X200" s="5">
        <v>0.499810911812748</v>
      </c>
      <c r="Y200" s="5">
        <v>-0.107780578380212</v>
      </c>
      <c r="Z200" s="5">
        <v>6.6674653194940597E-3</v>
      </c>
      <c r="AA200" s="5">
        <v>8.98725032002093E-2</v>
      </c>
      <c r="AB200" s="5">
        <v>0.60768792374001501</v>
      </c>
      <c r="AC200" s="5">
        <v>-0.37894971579314801</v>
      </c>
      <c r="AD200" s="5">
        <v>0.56117448932678105</v>
      </c>
      <c r="AE200" s="5">
        <v>-0.28283526141698401</v>
      </c>
      <c r="AF200" s="5">
        <v>0.60012030607221201</v>
      </c>
      <c r="AG200" s="5">
        <v>-0.28551567074362899</v>
      </c>
      <c r="AH200" s="5">
        <v>9.6644786481937403E-2</v>
      </c>
      <c r="AI200" s="5">
        <v>0.14258776683056801</v>
      </c>
      <c r="AJ200" s="5">
        <v>0.37102149627763698</v>
      </c>
      <c r="AK200" s="5">
        <v>2.66889892150825E-2</v>
      </c>
      <c r="AL200" s="5">
        <v>0.39131993495108303</v>
      </c>
      <c r="AM200" s="5">
        <v>-0.171648293027716</v>
      </c>
      <c r="AN200" s="5">
        <v>1.0860119722137801E-2</v>
      </c>
      <c r="AO200" s="5">
        <v>0.129695010010284</v>
      </c>
      <c r="AP200" s="5">
        <v>-0.111203200547113</v>
      </c>
      <c r="AQ200" s="5">
        <v>0.14496989552366801</v>
      </c>
      <c r="AR200" s="5">
        <v>0.48026974794335597</v>
      </c>
      <c r="AS200" s="5">
        <v>-0.19988763048737501</v>
      </c>
      <c r="AT200" s="5">
        <v>0.27256374565010499</v>
      </c>
      <c r="AU200" s="5">
        <v>-6.0067167714377499E-2</v>
      </c>
      <c r="AV200" s="5">
        <v>0.71232411769177395</v>
      </c>
      <c r="AW200" s="5">
        <v>-0.419565118479101</v>
      </c>
      <c r="AX200" s="5">
        <v>0.69337761339114801</v>
      </c>
      <c r="AY200" s="5">
        <v>-0.37592301445630699</v>
      </c>
      <c r="AZ200" s="5">
        <v>0.47459888663514499</v>
      </c>
      <c r="BA200" s="5">
        <v>-0.26360439448481998</v>
      </c>
      <c r="BB200" s="5">
        <v>0.468741691251577</v>
      </c>
      <c r="BC200" s="5">
        <v>-6.1117843375535497E-2</v>
      </c>
      <c r="BD200" s="5">
        <v>3.6932069299003098E-2</v>
      </c>
      <c r="BE200" s="5">
        <v>0.37108550094480802</v>
      </c>
      <c r="BF200" s="5">
        <v>0.46487338638387099</v>
      </c>
      <c r="BG200" s="5">
        <v>-0.12143178727649399</v>
      </c>
      <c r="BH200" s="5">
        <v>0.64013111191230698</v>
      </c>
      <c r="BI200" s="5">
        <v>-0.313477193254386</v>
      </c>
      <c r="BJ200" s="5">
        <v>-0.41572043184699198</v>
      </c>
      <c r="BK200" s="5">
        <v>0.33561914119463898</v>
      </c>
      <c r="BL200" s="5">
        <v>-3.3819906636081601E-2</v>
      </c>
      <c r="BM200" s="5">
        <v>2.92518860404647E-3</v>
      </c>
      <c r="BN200" s="5">
        <v>-0.12912700968927701</v>
      </c>
      <c r="BO200" s="5">
        <v>0.238918217056795</v>
      </c>
      <c r="BP200" s="5">
        <v>-0.249528281601789</v>
      </c>
      <c r="BQ200" s="5">
        <v>0.43265207314861798</v>
      </c>
      <c r="BR200" s="5">
        <v>0.48307587488647102</v>
      </c>
      <c r="BS200" s="5">
        <v>-0.22880638693192501</v>
      </c>
      <c r="BT200" s="5">
        <v>0.66634884748082801</v>
      </c>
      <c r="BU200" s="5">
        <v>-0.34853396731312097</v>
      </c>
      <c r="BV200" s="5">
        <v>0.53723552716724599</v>
      </c>
      <c r="BW200" s="5">
        <v>-0.16655202962124499</v>
      </c>
      <c r="BX200" s="5">
        <v>0.48128879534060398</v>
      </c>
      <c r="BY200" s="5">
        <v>-0.182130105485975</v>
      </c>
      <c r="BZ200" s="5">
        <v>0.62961693224533199</v>
      </c>
      <c r="CA200" s="5">
        <v>-0.31620637816828001</v>
      </c>
      <c r="CB200" s="5">
        <v>0.44035499778968501</v>
      </c>
      <c r="CC200" s="5">
        <v>-0.21120277215368699</v>
      </c>
      <c r="CD200" s="5">
        <v>0.30352631047019601</v>
      </c>
      <c r="CE200" s="5">
        <v>-0.10534475463531601</v>
      </c>
      <c r="CF200" s="5">
        <v>0.58686119929313396</v>
      </c>
      <c r="CG200" s="5">
        <v>-0.34499324442884899</v>
      </c>
      <c r="CH200" s="5">
        <v>0.33259536808338203</v>
      </c>
      <c r="CI200" s="5">
        <v>-0.15992897246474599</v>
      </c>
      <c r="CJ200" s="5">
        <v>0.14952454396203399</v>
      </c>
      <c r="CK200" s="5">
        <v>0.132738478052838</v>
      </c>
      <c r="CL200" s="5">
        <v>-7.9402078596422301E-3</v>
      </c>
      <c r="CM200" s="5">
        <v>6.1554307402531601E-2</v>
      </c>
      <c r="CN200" s="5">
        <v>-1.69351859259631E-2</v>
      </c>
      <c r="CO200" s="5">
        <v>9.4206974726311801E-2</v>
      </c>
      <c r="CP200" s="5">
        <v>0.41119311431088101</v>
      </c>
      <c r="CQ200" s="5">
        <v>-0.14013916632755499</v>
      </c>
      <c r="CR200" s="5">
        <v>0.34601287589780499</v>
      </c>
      <c r="CS200" s="5">
        <v>-0.11746650200776899</v>
      </c>
      <c r="CT200" s="5">
        <v>-3.8447948174249999E-2</v>
      </c>
      <c r="CU200" s="5">
        <v>5.6085140062383798E-2</v>
      </c>
      <c r="CV200" s="5">
        <v>0.40769121205939501</v>
      </c>
      <c r="CW200" s="5">
        <v>-0.189969806978256</v>
      </c>
      <c r="CX200" s="5">
        <v>0.56633956999202195</v>
      </c>
      <c r="CY200" s="5">
        <v>-0.233875356091165</v>
      </c>
      <c r="CZ200" s="5">
        <v>0.62579687662661698</v>
      </c>
      <c r="DA200" s="5">
        <v>-0.33435164011298801</v>
      </c>
      <c r="DB200" s="5">
        <v>0.45164234346770799</v>
      </c>
      <c r="DC200" s="5">
        <v>-1.18675502339069E-2</v>
      </c>
      <c r="DD200" s="5">
        <v>0.451114941677356</v>
      </c>
      <c r="DE200" s="5">
        <v>-0.157165724608404</v>
      </c>
      <c r="DF200" s="5">
        <v>0.46807891432091497</v>
      </c>
      <c r="DG200" s="5">
        <v>-0.17312179352496701</v>
      </c>
      <c r="DH200" s="5">
        <v>0.219682200670475</v>
      </c>
      <c r="DI200" s="5">
        <v>0.14354165881995901</v>
      </c>
      <c r="DJ200" s="5">
        <v>-0.16857919558112699</v>
      </c>
      <c r="DK200" s="5">
        <v>0.173248942299043</v>
      </c>
      <c r="DL200" s="5">
        <v>0.47961368240871999</v>
      </c>
      <c r="DM200" s="5">
        <v>-0.11777899281016301</v>
      </c>
      <c r="DN200" s="5">
        <v>-0.24209530044793801</v>
      </c>
      <c r="DO200" s="5">
        <v>0.19745543623658801</v>
      </c>
      <c r="DP200" s="5">
        <v>0.33958969023354402</v>
      </c>
      <c r="DQ200" s="5">
        <v>-7.5641830338838298E-2</v>
      </c>
      <c r="DR200" s="5">
        <v>5.99996520414776E-2</v>
      </c>
      <c r="DS200" s="5">
        <v>0.13836566255385599</v>
      </c>
      <c r="DT200" s="5">
        <v>0.27300037570937602</v>
      </c>
      <c r="DU200" s="5">
        <v>-0.10225071963023399</v>
      </c>
      <c r="DV200" s="5">
        <v>0.39222072491626703</v>
      </c>
      <c r="DW200" s="5">
        <v>-0.15166694077808901</v>
      </c>
      <c r="DX200" s="5">
        <v>-9.79386328319473E-2</v>
      </c>
      <c r="DY200" s="5">
        <v>0.118567813358542</v>
      </c>
      <c r="DZ200" s="5">
        <v>8.0073269583840201E-2</v>
      </c>
      <c r="EA200" s="5">
        <v>-7.2245725260162499E-2</v>
      </c>
      <c r="EB200" s="5">
        <v>0.62479883636747002</v>
      </c>
      <c r="EC200" s="5">
        <v>-0.33741188038652098</v>
      </c>
      <c r="ED200" s="5">
        <v>0.56952312195115096</v>
      </c>
      <c r="EE200" s="5">
        <v>-0.24187602516371601</v>
      </c>
      <c r="EF200" s="5">
        <v>0.32527328136546202</v>
      </c>
      <c r="EG200" s="5">
        <v>-0.113895139034227</v>
      </c>
      <c r="EH200" s="5">
        <v>0.53748733094013001</v>
      </c>
      <c r="EI200" s="5">
        <v>-0.20948372130123299</v>
      </c>
      <c r="EJ200" s="5">
        <v>0.51413487156984095</v>
      </c>
      <c r="EK200" s="5">
        <v>-0.17975295752211301</v>
      </c>
      <c r="EL200" s="5">
        <v>0.71594520758623803</v>
      </c>
      <c r="EM200" s="5">
        <v>-0.46738826694943703</v>
      </c>
      <c r="EN200" s="5">
        <v>0.179356613204457</v>
      </c>
      <c r="EO200" s="5">
        <v>0.124869136117332</v>
      </c>
      <c r="EP200" s="5">
        <v>0.48234250511249799</v>
      </c>
      <c r="EQ200" s="5">
        <v>-0.25788865339066203</v>
      </c>
      <c r="ER200" s="5">
        <v>0.489755017645575</v>
      </c>
      <c r="ES200" s="5">
        <v>-0.160265323903035</v>
      </c>
      <c r="ET200" s="5">
        <v>0.52468920791509499</v>
      </c>
      <c r="EU200" s="5">
        <v>-0.267311852023359</v>
      </c>
      <c r="EV200" s="5">
        <v>0.60103327584501098</v>
      </c>
      <c r="EW200" s="5">
        <v>-0.32329700276022</v>
      </c>
      <c r="EX200" s="5">
        <v>0.62326968500633695</v>
      </c>
      <c r="EY200" s="5">
        <v>-0.45486261331578198</v>
      </c>
      <c r="EZ200" s="5">
        <v>0.52374095094540096</v>
      </c>
      <c r="FA200" s="5">
        <v>-0.195449758479047</v>
      </c>
      <c r="FB200" s="5">
        <v>0.106540464111126</v>
      </c>
      <c r="FC200" s="5">
        <v>0.115956720931141</v>
      </c>
      <c r="FD200" s="5">
        <v>0.40427733562311402</v>
      </c>
      <c r="FE200" s="5">
        <v>-0.178606464915469</v>
      </c>
      <c r="FF200" s="5">
        <v>8.0328535487849101E-2</v>
      </c>
      <c r="FG200" s="5">
        <v>9.7224489563519104E-2</v>
      </c>
      <c r="FH200" s="5">
        <v>0.60762294046063103</v>
      </c>
      <c r="FI200" s="5">
        <v>-0.37941814378934302</v>
      </c>
      <c r="FJ200" s="5">
        <v>0.57598547883830298</v>
      </c>
      <c r="FK200" s="5">
        <v>-0.145903733186942</v>
      </c>
      <c r="FL200" s="5">
        <v>-0.12823874095232299</v>
      </c>
      <c r="FM200" s="5">
        <v>0.159837032598033</v>
      </c>
      <c r="FN200" s="5">
        <v>0.29069972386809001</v>
      </c>
      <c r="FO200" s="5">
        <v>0.138579682438319</v>
      </c>
      <c r="FP200" s="5">
        <v>0.34602004538401698</v>
      </c>
      <c r="FQ200" s="5">
        <v>6.5046805554727E-2</v>
      </c>
      <c r="FR200" s="5">
        <v>-0.27871339004533902</v>
      </c>
      <c r="FS200" s="5">
        <v>0.231289740329716</v>
      </c>
      <c r="FT200" s="5">
        <v>0.39514390822497297</v>
      </c>
      <c r="FU200" s="5">
        <v>4.6504417654259403E-2</v>
      </c>
      <c r="FV200" s="5">
        <v>0.18529078611979199</v>
      </c>
      <c r="FW200" s="5">
        <v>0.11142239935313</v>
      </c>
      <c r="FX200" s="5">
        <v>0.50372411408351003</v>
      </c>
      <c r="FY200" s="5">
        <v>-0.26152792230098099</v>
      </c>
      <c r="FZ200" s="5">
        <v>0.43945820095923799</v>
      </c>
      <c r="GA200" s="5">
        <v>3.4884486472764299E-2</v>
      </c>
      <c r="GB200" s="5">
        <v>9.0314138576291905E-2</v>
      </c>
      <c r="GC200" s="5">
        <v>0.18546688103285799</v>
      </c>
      <c r="GD200" s="5">
        <v>-0.19460357875523401</v>
      </c>
      <c r="GE200" s="5">
        <v>0.210592196063496</v>
      </c>
      <c r="GF200" s="5">
        <v>0.37323970515134203</v>
      </c>
      <c r="GG200" s="5">
        <v>-3.7032794754067302E-2</v>
      </c>
      <c r="GH200" s="5">
        <v>-0.35182909343781299</v>
      </c>
      <c r="GI200" s="5">
        <v>0.26455234817037299</v>
      </c>
      <c r="GJ200" s="5">
        <v>0.79836045340467998</v>
      </c>
      <c r="GK200" s="5">
        <v>-0.59764576203491004</v>
      </c>
      <c r="GL200" s="5">
        <v>0.40393396422995598</v>
      </c>
      <c r="GM200" s="5">
        <v>-0.180629757814187</v>
      </c>
      <c r="GN200" s="5">
        <v>8.6863661946396095E-2</v>
      </c>
      <c r="GO200" s="5">
        <v>0.24098727162938399</v>
      </c>
      <c r="GP200" s="5">
        <v>0.42108828420913602</v>
      </c>
      <c r="GQ200" s="5">
        <v>-2.4741085788246301E-2</v>
      </c>
      <c r="GR200" s="5">
        <v>1</v>
      </c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</row>
    <row r="201" spans="1:389" x14ac:dyDescent="0.45">
      <c r="A201" s="4" t="str">
        <f ca="1">"LAO / beta2dist in "&amp;CELL("address",'damages-1990'!$K$101)</f>
        <v>LAO / beta2dist in '[BHM betas v3pd.xlsx]damages-1990'!$K$101</v>
      </c>
      <c r="B201" s="6">
        <v>-3.3838607639571298E-2</v>
      </c>
      <c r="C201" s="5">
        <v>-5.1994566258150701E-2</v>
      </c>
      <c r="D201" s="5">
        <v>-0.372375653595094</v>
      </c>
      <c r="E201" s="5">
        <v>0.41019578797615502</v>
      </c>
      <c r="F201" s="5">
        <v>-6.2147124718484803E-3</v>
      </c>
      <c r="G201" s="5">
        <v>-6.9820366846496396E-2</v>
      </c>
      <c r="H201" s="5">
        <v>0.115910004790289</v>
      </c>
      <c r="I201" s="5">
        <v>-0.131541032941772</v>
      </c>
      <c r="J201" s="5">
        <v>-0.25709530275460502</v>
      </c>
      <c r="K201" s="5">
        <v>0.22909580950493699</v>
      </c>
      <c r="L201" s="5">
        <v>-0.19152669157901001</v>
      </c>
      <c r="M201" s="5">
        <v>0.162448498933559</v>
      </c>
      <c r="N201" s="5">
        <v>-2.0895738703752699E-2</v>
      </c>
      <c r="O201" s="5">
        <v>2.19605330736161E-3</v>
      </c>
      <c r="P201" s="5">
        <v>-0.35391532532259601</v>
      </c>
      <c r="Q201" s="5">
        <v>0.38307744361417601</v>
      </c>
      <c r="R201" s="5">
        <v>-0.28294154072892902</v>
      </c>
      <c r="S201" s="5">
        <v>0.30178840176799998</v>
      </c>
      <c r="T201" s="5">
        <v>-8.4580921453773703E-2</v>
      </c>
      <c r="U201" s="5">
        <v>8.0021148568803893E-2</v>
      </c>
      <c r="V201" s="5">
        <v>-1.3012996331202099E-2</v>
      </c>
      <c r="W201" s="5">
        <v>-0.125238136580402</v>
      </c>
      <c r="X201" s="5">
        <v>-0.31827590658027799</v>
      </c>
      <c r="Y201" s="5">
        <v>0.328875681703098</v>
      </c>
      <c r="Z201" s="5">
        <v>-3.9188644364971999E-2</v>
      </c>
      <c r="AA201" s="5">
        <v>4.3175966921010098E-2</v>
      </c>
      <c r="AB201" s="5">
        <v>-0.51259238288277598</v>
      </c>
      <c r="AC201" s="5">
        <v>0.64382714969116095</v>
      </c>
      <c r="AD201" s="5">
        <v>-0.50847153042980098</v>
      </c>
      <c r="AE201" s="5">
        <v>0.58753280344645398</v>
      </c>
      <c r="AF201" s="5">
        <v>-0.42102742468378901</v>
      </c>
      <c r="AG201" s="5">
        <v>0.446187801318151</v>
      </c>
      <c r="AH201" s="5">
        <v>-2.5678628731248401E-2</v>
      </c>
      <c r="AI201" s="5">
        <v>-3.0561121915922501E-2</v>
      </c>
      <c r="AJ201" s="5">
        <v>-0.225377308881439</v>
      </c>
      <c r="AK201" s="5">
        <v>0.19172875573388301</v>
      </c>
      <c r="AL201" s="5">
        <v>-0.131529817445944</v>
      </c>
      <c r="AM201" s="5">
        <v>0.11181021544726701</v>
      </c>
      <c r="AN201" s="5">
        <v>-3.1932119518666501E-2</v>
      </c>
      <c r="AO201" s="5">
        <v>-4.1237597532603102E-4</v>
      </c>
      <c r="AP201" s="5">
        <v>-6.7526738410382606E-2</v>
      </c>
      <c r="AQ201" s="5">
        <v>6.3430449962706997E-2</v>
      </c>
      <c r="AR201" s="5">
        <v>-0.27870368948945701</v>
      </c>
      <c r="AS201" s="5">
        <v>0.32220537349093897</v>
      </c>
      <c r="AT201" s="5">
        <v>-1.4144034800373399E-2</v>
      </c>
      <c r="AU201" s="5">
        <v>-1.7792658085795301E-2</v>
      </c>
      <c r="AV201" s="5">
        <v>-0.46214053743628197</v>
      </c>
      <c r="AW201" s="5">
        <v>0.61113450974051697</v>
      </c>
      <c r="AX201" s="5">
        <v>-0.45474375411260098</v>
      </c>
      <c r="AY201" s="5">
        <v>0.56864321117406402</v>
      </c>
      <c r="AZ201" s="5">
        <v>-0.45339339246903099</v>
      </c>
      <c r="BA201" s="5">
        <v>0.48637228825986101</v>
      </c>
      <c r="BB201" s="5">
        <v>-0.233967009646628</v>
      </c>
      <c r="BC201" s="5">
        <v>0.235392622494079</v>
      </c>
      <c r="BD201" s="5">
        <v>-3.9636132554531304E-3</v>
      </c>
      <c r="BE201" s="5">
        <v>-9.3500697891402099E-2</v>
      </c>
      <c r="BF201" s="5">
        <v>-0.30551147403587398</v>
      </c>
      <c r="BG201" s="5">
        <v>0.29369559310416998</v>
      </c>
      <c r="BH201" s="5">
        <v>-0.46531035606544302</v>
      </c>
      <c r="BI201" s="5">
        <v>0.56728341189217102</v>
      </c>
      <c r="BJ201" s="5">
        <v>0.17741708252378499</v>
      </c>
      <c r="BK201" s="5">
        <v>-0.28738344998725301</v>
      </c>
      <c r="BL201" s="5">
        <v>-8.8453369500142001E-2</v>
      </c>
      <c r="BM201" s="5">
        <v>8.8343638245830997E-2</v>
      </c>
      <c r="BN201" s="5">
        <v>0.115933749663104</v>
      </c>
      <c r="BO201" s="5">
        <v>-0.18796140429453401</v>
      </c>
      <c r="BP201" s="5">
        <v>0.18148929265666799</v>
      </c>
      <c r="BQ201" s="5">
        <v>-0.34782629038860602</v>
      </c>
      <c r="BR201" s="5">
        <v>-0.46782277910549303</v>
      </c>
      <c r="BS201" s="5">
        <v>0.56617722971261897</v>
      </c>
      <c r="BT201" s="5">
        <v>-0.47918075540295602</v>
      </c>
      <c r="BU201" s="5">
        <v>0.61760159105360302</v>
      </c>
      <c r="BV201" s="5">
        <v>-0.36605799999345201</v>
      </c>
      <c r="BW201" s="5">
        <v>0.42714136989795398</v>
      </c>
      <c r="BX201" s="5">
        <v>-0.326363889352415</v>
      </c>
      <c r="BY201" s="5">
        <v>0.42965660983917497</v>
      </c>
      <c r="BZ201" s="5">
        <v>-0.48316541095179399</v>
      </c>
      <c r="CA201" s="5">
        <v>0.5556160871761</v>
      </c>
      <c r="CB201" s="5">
        <v>-0.26871289948705002</v>
      </c>
      <c r="CC201" s="5">
        <v>0.332812643095452</v>
      </c>
      <c r="CD201" s="5">
        <v>-0.16920657859421601</v>
      </c>
      <c r="CE201" s="5">
        <v>0.197545203686498</v>
      </c>
      <c r="CF201" s="5">
        <v>-0.49589219360713999</v>
      </c>
      <c r="CG201" s="5">
        <v>0.52834112421675505</v>
      </c>
      <c r="CH201" s="5">
        <v>-6.0827249688799899E-2</v>
      </c>
      <c r="CI201" s="5">
        <v>8.3753856087605605E-2</v>
      </c>
      <c r="CJ201" s="5">
        <v>3.2704098505719002E-2</v>
      </c>
      <c r="CK201" s="5">
        <v>-9.0441803024916403E-2</v>
      </c>
      <c r="CL201" s="5">
        <v>-6.3169188709719007E-2</v>
      </c>
      <c r="CM201" s="5">
        <v>5.3119005616865202E-2</v>
      </c>
      <c r="CN201" s="5">
        <v>-4.4277876259719198E-2</v>
      </c>
      <c r="CO201" s="5">
        <v>3.4918130639333703E-2</v>
      </c>
      <c r="CP201" s="5">
        <v>-0.43959291414308499</v>
      </c>
      <c r="CQ201" s="5">
        <v>0.43277362296357003</v>
      </c>
      <c r="CR201" s="5">
        <v>-0.306503677618019</v>
      </c>
      <c r="CS201" s="5">
        <v>0.33520256446181701</v>
      </c>
      <c r="CT201" s="5">
        <v>-8.8731086968510994E-2</v>
      </c>
      <c r="CU201" s="5">
        <v>0.109148766368613</v>
      </c>
      <c r="CV201" s="5">
        <v>-0.36668830154778997</v>
      </c>
      <c r="CW201" s="5">
        <v>0.423352778363283</v>
      </c>
      <c r="CX201" s="5">
        <v>-0.46224486240634899</v>
      </c>
      <c r="CY201" s="5">
        <v>0.52943014786933995</v>
      </c>
      <c r="CZ201" s="5">
        <v>-0.47127880584265103</v>
      </c>
      <c r="DA201" s="5">
        <v>0.52801245806013397</v>
      </c>
      <c r="DB201" s="5">
        <v>-0.24881652726280201</v>
      </c>
      <c r="DC201" s="5">
        <v>0.19835359815370199</v>
      </c>
      <c r="DD201" s="5">
        <v>-0.41596062783556398</v>
      </c>
      <c r="DE201" s="5">
        <v>0.447429910992935</v>
      </c>
      <c r="DF201" s="5">
        <v>-0.291357936150692</v>
      </c>
      <c r="DG201" s="5">
        <v>0.32065335448844401</v>
      </c>
      <c r="DH201" s="5">
        <v>-0.106600933608066</v>
      </c>
      <c r="DI201" s="5">
        <v>6.2393794353905199E-2</v>
      </c>
      <c r="DJ201" s="5">
        <v>-5.68959718883041E-2</v>
      </c>
      <c r="DK201" s="5">
        <v>5.3995404132410899E-2</v>
      </c>
      <c r="DL201" s="5">
        <v>-0.33121845677370498</v>
      </c>
      <c r="DM201" s="5">
        <v>0.37828689516484099</v>
      </c>
      <c r="DN201" s="5">
        <v>-7.14938692058735E-3</v>
      </c>
      <c r="DO201" s="5">
        <v>-2.1377184962959898E-3</v>
      </c>
      <c r="DP201" s="5">
        <v>-8.2098543279682495E-2</v>
      </c>
      <c r="DQ201" s="5">
        <v>7.51202033818794E-2</v>
      </c>
      <c r="DR201" s="5">
        <v>-3.3739944567325902E-2</v>
      </c>
      <c r="DS201" s="5">
        <v>1.9780232156210401E-2</v>
      </c>
      <c r="DT201" s="5">
        <v>-0.263304328643438</v>
      </c>
      <c r="DU201" s="5">
        <v>0.27811527284345899</v>
      </c>
      <c r="DV201" s="5">
        <v>-0.28804250267834902</v>
      </c>
      <c r="DW201" s="5">
        <v>0.38069696304274397</v>
      </c>
      <c r="DX201" s="5">
        <v>-3.7271249834087399E-3</v>
      </c>
      <c r="DY201" s="5">
        <v>3.9688293800013402E-2</v>
      </c>
      <c r="DZ201" s="5">
        <v>-7.9315959895433205E-2</v>
      </c>
      <c r="EA201" s="5">
        <v>0.106512835157641</v>
      </c>
      <c r="EB201" s="5">
        <v>-0.57204208896984898</v>
      </c>
      <c r="EC201" s="5">
        <v>0.65334018798875704</v>
      </c>
      <c r="ED201" s="5">
        <v>-0.49609219895707701</v>
      </c>
      <c r="EE201" s="5">
        <v>0.55843761466181796</v>
      </c>
      <c r="EF201" s="5">
        <v>-0.31847605492240499</v>
      </c>
      <c r="EG201" s="5">
        <v>0.34189183448036398</v>
      </c>
      <c r="EH201" s="5">
        <v>-0.37337137243388901</v>
      </c>
      <c r="EI201" s="5">
        <v>0.45231709841657403</v>
      </c>
      <c r="EJ201" s="5">
        <v>-0.378346442549371</v>
      </c>
      <c r="EK201" s="5">
        <v>0.45178649073890098</v>
      </c>
      <c r="EL201" s="5">
        <v>-0.52260529631720498</v>
      </c>
      <c r="EM201" s="5">
        <v>0.662825928193714</v>
      </c>
      <c r="EN201" s="5">
        <v>8.2094188492777102E-3</v>
      </c>
      <c r="EO201" s="5">
        <v>-8.0489376446075206E-2</v>
      </c>
      <c r="EP201" s="5">
        <v>-0.45366625695444102</v>
      </c>
      <c r="EQ201" s="5">
        <v>0.48144430440606301</v>
      </c>
      <c r="ER201" s="5">
        <v>-0.28779744787111999</v>
      </c>
      <c r="ES201" s="5">
        <v>0.32417423668088702</v>
      </c>
      <c r="ET201" s="5">
        <v>-0.27353780159528701</v>
      </c>
      <c r="EU201" s="5">
        <v>0.36799853022298501</v>
      </c>
      <c r="EV201" s="5">
        <v>-0.43456550617656498</v>
      </c>
      <c r="EW201" s="5">
        <v>0.52409758812588703</v>
      </c>
      <c r="EX201" s="5">
        <v>-0.34825027953413201</v>
      </c>
      <c r="EY201" s="5">
        <v>0.50938840760855597</v>
      </c>
      <c r="EZ201" s="5">
        <v>-0.36081909995161598</v>
      </c>
      <c r="FA201" s="5">
        <v>0.41689291094021802</v>
      </c>
      <c r="FB201" s="5">
        <v>-5.58675553065969E-2</v>
      </c>
      <c r="FC201" s="5">
        <v>3.05138448874556E-2</v>
      </c>
      <c r="FD201" s="5">
        <v>-0.276817736713171</v>
      </c>
      <c r="FE201" s="5">
        <v>0.35050894816525702</v>
      </c>
      <c r="FF201" s="5">
        <v>-4.7451210381312198E-2</v>
      </c>
      <c r="FG201" s="5">
        <v>2.6613833234259199E-2</v>
      </c>
      <c r="FH201" s="5">
        <v>-0.25573966247561197</v>
      </c>
      <c r="FI201" s="5">
        <v>0.35207282903874199</v>
      </c>
      <c r="FJ201" s="5">
        <v>-0.413161161339056</v>
      </c>
      <c r="FK201" s="5">
        <v>0.38754364733035401</v>
      </c>
      <c r="FL201" s="5">
        <v>0.10512314567117401</v>
      </c>
      <c r="FM201" s="5">
        <v>-7.9075209557750298E-2</v>
      </c>
      <c r="FN201" s="5">
        <v>-0.126491147388686</v>
      </c>
      <c r="FO201" s="5">
        <v>5.7376443492133999E-2</v>
      </c>
      <c r="FP201" s="5">
        <v>-0.16792331608868999</v>
      </c>
      <c r="FQ201" s="5">
        <v>9.9258473046314702E-2</v>
      </c>
      <c r="FR201" s="5">
        <v>0.32810924187801599</v>
      </c>
      <c r="FS201" s="5">
        <v>-0.32384853776068501</v>
      </c>
      <c r="FT201" s="5">
        <v>-0.204628059979758</v>
      </c>
      <c r="FU201" s="5">
        <v>0.12704919852457999</v>
      </c>
      <c r="FV201" s="5">
        <v>-6.9813402307862302E-2</v>
      </c>
      <c r="FW201" s="5">
        <v>4.8674673679675401E-2</v>
      </c>
      <c r="FX201" s="5">
        <v>-0.37509187369026897</v>
      </c>
      <c r="FY201" s="5">
        <v>0.42627556312392501</v>
      </c>
      <c r="FZ201" s="5">
        <v>-0.23112536555723101</v>
      </c>
      <c r="GA201" s="5">
        <v>0.14835862282491399</v>
      </c>
      <c r="GB201" s="5">
        <v>-4.20066674995212E-2</v>
      </c>
      <c r="GC201" s="5">
        <v>-3.2982110465548499E-3</v>
      </c>
      <c r="GD201" s="5">
        <v>8.4942978535090502E-2</v>
      </c>
      <c r="GE201" s="5">
        <v>-7.3319118877980899E-2</v>
      </c>
      <c r="GF201" s="5">
        <v>-0.121786497601009</v>
      </c>
      <c r="GG201" s="5">
        <v>0.20926012503929001</v>
      </c>
      <c r="GH201" s="5">
        <v>0.37848868137635</v>
      </c>
      <c r="GI201" s="5">
        <v>-0.44080536106614898</v>
      </c>
      <c r="GJ201" s="5">
        <v>-0.57875860310489602</v>
      </c>
      <c r="GK201" s="5">
        <v>0.72656774628527399</v>
      </c>
      <c r="GL201" s="5">
        <v>-0.435892208448656</v>
      </c>
      <c r="GM201" s="5">
        <v>0.43558051205383802</v>
      </c>
      <c r="GN201" s="5">
        <v>-1.9049119148578701E-2</v>
      </c>
      <c r="GO201" s="5">
        <v>-3.8681986746585101E-2</v>
      </c>
      <c r="GP201" s="5">
        <v>-0.263981227725336</v>
      </c>
      <c r="GQ201" s="5">
        <v>0.23286154896390199</v>
      </c>
      <c r="GR201" s="5">
        <v>-0.81408118282555597</v>
      </c>
      <c r="GS201" s="5">
        <v>1</v>
      </c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</row>
    <row r="202" spans="1:389" x14ac:dyDescent="0.45">
      <c r="A202" s="4" t="str">
        <f ca="1">"LBN / beta1dist in "&amp;CELL("address",'damages-1990'!$J$102)</f>
        <v>LBN / beta1dist in '[BHM betas v3pd.xlsx]damages-1990'!$J$102</v>
      </c>
      <c r="B202" s="6">
        <v>0.47168539762720602</v>
      </c>
      <c r="C202" s="5">
        <v>-8.8491236936992703E-3</v>
      </c>
      <c r="D202" s="5">
        <v>0.28740028976772602</v>
      </c>
      <c r="E202" s="5">
        <v>-1.7202627161349598E-2</v>
      </c>
      <c r="F202" s="5">
        <v>0.54297998148997095</v>
      </c>
      <c r="G202" s="5">
        <v>-0.21693863699019</v>
      </c>
      <c r="H202" s="5">
        <v>-8.2624455260848998E-3</v>
      </c>
      <c r="I202" s="5">
        <v>0.15032130805232199</v>
      </c>
      <c r="J202" s="5">
        <v>0.37651014377913</v>
      </c>
      <c r="K202" s="5">
        <v>-0.12613534121620201</v>
      </c>
      <c r="L202" s="5">
        <v>0.473538130871063</v>
      </c>
      <c r="M202" s="5">
        <v>-8.7535415870142796E-2</v>
      </c>
      <c r="N202" s="5">
        <v>0.10168842584672</v>
      </c>
      <c r="O202" s="5">
        <v>0.16696682396830301</v>
      </c>
      <c r="P202" s="5">
        <v>7.5941027145630904E-2</v>
      </c>
      <c r="Q202" s="5">
        <v>5.1473750823326697E-2</v>
      </c>
      <c r="R202" s="5">
        <v>0.39286500307697803</v>
      </c>
      <c r="S202" s="5">
        <v>-9.8299422340660497E-2</v>
      </c>
      <c r="T202" s="5">
        <v>-1.6143037138561299E-3</v>
      </c>
      <c r="U202" s="5">
        <v>0.163208471325549</v>
      </c>
      <c r="V202" s="5">
        <v>0.59228720338585705</v>
      </c>
      <c r="W202" s="5">
        <v>-0.16345554618795699</v>
      </c>
      <c r="X202" s="5">
        <v>0.32479120767132003</v>
      </c>
      <c r="Y202" s="5">
        <v>-2.18290117364008E-2</v>
      </c>
      <c r="Z202" s="5">
        <v>0.20644649816518401</v>
      </c>
      <c r="AA202" s="5">
        <v>6.5329337514342306E-2</v>
      </c>
      <c r="AB202" s="5">
        <v>0.124881586892023</v>
      </c>
      <c r="AC202" s="5">
        <v>3.1374076279766898E-2</v>
      </c>
      <c r="AD202" s="5">
        <v>0.23257565232036001</v>
      </c>
      <c r="AE202" s="5">
        <v>-4.0665066414564702E-2</v>
      </c>
      <c r="AF202" s="5">
        <v>0.33353515427275998</v>
      </c>
      <c r="AG202" s="5">
        <v>-0.115773678347633</v>
      </c>
      <c r="AH202" s="5">
        <v>0.43238678177205497</v>
      </c>
      <c r="AI202" s="5">
        <v>-0.10636218448262701</v>
      </c>
      <c r="AJ202" s="5">
        <v>0.37537184045862099</v>
      </c>
      <c r="AK202" s="5">
        <v>-0.12632099166782201</v>
      </c>
      <c r="AL202" s="5">
        <v>0.16964876126572001</v>
      </c>
      <c r="AM202" s="5">
        <v>-7.7071515001287602E-3</v>
      </c>
      <c r="AN202" s="5">
        <v>0.233886050611812</v>
      </c>
      <c r="AO202" s="5">
        <v>4.6237034861946802E-2</v>
      </c>
      <c r="AP202" s="5">
        <v>0.14325735156648201</v>
      </c>
      <c r="AQ202" s="5">
        <v>-1.5922498780089899E-2</v>
      </c>
      <c r="AR202" s="5">
        <v>0.26372149434068798</v>
      </c>
      <c r="AS202" s="5">
        <v>-6.6905334331027605E-2</v>
      </c>
      <c r="AT202" s="5">
        <v>9.1785423128353E-2</v>
      </c>
      <c r="AU202" s="5">
        <v>9.9941477086216493E-2</v>
      </c>
      <c r="AV202" s="5">
        <v>0.40292708592028098</v>
      </c>
      <c r="AW202" s="5">
        <v>-0.14019622866954001</v>
      </c>
      <c r="AX202" s="5">
        <v>0.31575504588826298</v>
      </c>
      <c r="AY202" s="5">
        <v>-6.0754278656710001E-2</v>
      </c>
      <c r="AZ202" s="5">
        <v>0.10265044395355299</v>
      </c>
      <c r="BA202" s="5">
        <v>-1.64371369123448E-3</v>
      </c>
      <c r="BB202" s="5">
        <v>0.34868632939594801</v>
      </c>
      <c r="BC202" s="5">
        <v>-0.117112469400049</v>
      </c>
      <c r="BD202" s="5">
        <v>0.46092789142555102</v>
      </c>
      <c r="BE202" s="5">
        <v>-2.1425871474227701E-2</v>
      </c>
      <c r="BF202" s="5">
        <v>0.14464870500079399</v>
      </c>
      <c r="BG202" s="5">
        <v>0.117565819478263</v>
      </c>
      <c r="BH202" s="5">
        <v>0.26949377361719501</v>
      </c>
      <c r="BI202" s="5">
        <v>-4.3582147338903102E-2</v>
      </c>
      <c r="BJ202" s="5">
        <v>-7.6081758453823298E-2</v>
      </c>
      <c r="BK202" s="5">
        <v>0.133905974825789</v>
      </c>
      <c r="BL202" s="5">
        <v>-3.0723605644165E-2</v>
      </c>
      <c r="BM202" s="5">
        <v>0.182203159833184</v>
      </c>
      <c r="BN202" s="5">
        <v>0.30266772727232799</v>
      </c>
      <c r="BO202" s="5">
        <v>-1.71114250126338E-2</v>
      </c>
      <c r="BP202" s="5">
        <v>0.232257572673923</v>
      </c>
      <c r="BQ202" s="5">
        <v>4.2753396098545803E-2</v>
      </c>
      <c r="BR202" s="5">
        <v>0.26321113771042898</v>
      </c>
      <c r="BS202" s="5">
        <v>-6.8920705885339495E-2</v>
      </c>
      <c r="BT202" s="5">
        <v>0.33648664989011201</v>
      </c>
      <c r="BU202" s="5">
        <v>-0.10169330460114399</v>
      </c>
      <c r="BV202" s="5">
        <v>0.32255320215348399</v>
      </c>
      <c r="BW202" s="5">
        <v>-9.25618092032372E-2</v>
      </c>
      <c r="BX202" s="5">
        <v>0.25926208978343102</v>
      </c>
      <c r="BY202" s="5">
        <v>-6.8139826646149801E-2</v>
      </c>
      <c r="BZ202" s="5">
        <v>0.34310942491261098</v>
      </c>
      <c r="CA202" s="5">
        <v>-0.122427926118844</v>
      </c>
      <c r="CB202" s="5">
        <v>0.17305651639549399</v>
      </c>
      <c r="CC202" s="5">
        <v>-2.8418499552744999E-2</v>
      </c>
      <c r="CD202" s="5">
        <v>0.10142710831709301</v>
      </c>
      <c r="CE202" s="5">
        <v>7.2744653982397905E-2</v>
      </c>
      <c r="CF202" s="5">
        <v>0.163902116090199</v>
      </c>
      <c r="CG202" s="5">
        <v>-1.6943575205861899E-2</v>
      </c>
      <c r="CH202" s="5">
        <v>0.10927262133497299</v>
      </c>
      <c r="CI202" s="5">
        <v>4.0987652622983699E-2</v>
      </c>
      <c r="CJ202" s="5">
        <v>0.689825364371911</v>
      </c>
      <c r="CK202" s="5">
        <v>-0.48176982622590397</v>
      </c>
      <c r="CL202" s="5">
        <v>0.105445661772473</v>
      </c>
      <c r="CM202" s="5">
        <v>9.6329031154699402E-2</v>
      </c>
      <c r="CN202" s="5">
        <v>0.17339004895346599</v>
      </c>
      <c r="CO202" s="5">
        <v>6.2289452775654203E-2</v>
      </c>
      <c r="CP202" s="5">
        <v>0.26964319915253498</v>
      </c>
      <c r="CQ202" s="5">
        <v>-0.106570020976576</v>
      </c>
      <c r="CR202" s="5">
        <v>0.12916009157917599</v>
      </c>
      <c r="CS202" s="5">
        <v>1.4567011628867799E-2</v>
      </c>
      <c r="CT202" s="5">
        <v>0.14722655848192301</v>
      </c>
      <c r="CU202" s="5">
        <v>7.5428392234646903E-3</v>
      </c>
      <c r="CV202" s="5">
        <v>8.5986175286536001E-2</v>
      </c>
      <c r="CW202" s="5">
        <v>6.8024849762837E-2</v>
      </c>
      <c r="CX202" s="5">
        <v>0.44805853924773897</v>
      </c>
      <c r="CY202" s="5">
        <v>-0.18181835143598199</v>
      </c>
      <c r="CZ202" s="5">
        <v>0.29572868580002099</v>
      </c>
      <c r="DA202" s="5">
        <v>-3.4868128187949599E-2</v>
      </c>
      <c r="DB202" s="5">
        <v>0.57413817072778395</v>
      </c>
      <c r="DC202" s="5">
        <v>-0.310251335032938</v>
      </c>
      <c r="DD202" s="5">
        <v>0.256225216416333</v>
      </c>
      <c r="DE202" s="5">
        <v>-4.2211151033377199E-2</v>
      </c>
      <c r="DF202" s="5">
        <v>0.30135395681369698</v>
      </c>
      <c r="DG202" s="5">
        <v>-6.2596121138377203E-2</v>
      </c>
      <c r="DH202" s="5">
        <v>0.534319736754444</v>
      </c>
      <c r="DI202" s="5">
        <v>-0.165267804146499</v>
      </c>
      <c r="DJ202" s="5">
        <v>0.145403149632093</v>
      </c>
      <c r="DK202" s="5">
        <v>-4.8333003653647601E-2</v>
      </c>
      <c r="DL202" s="5">
        <v>0.33662372389836698</v>
      </c>
      <c r="DM202" s="5">
        <v>-8.5951113298817799E-2</v>
      </c>
      <c r="DN202" s="5">
        <v>7.2056754297797704E-2</v>
      </c>
      <c r="DO202" s="5">
        <v>-1.7817812407170099E-2</v>
      </c>
      <c r="DP202" s="5">
        <v>0.276210984152304</v>
      </c>
      <c r="DQ202" s="5">
        <v>-2.0787982757284301E-2</v>
      </c>
      <c r="DR202" s="5">
        <v>0.36575029639003798</v>
      </c>
      <c r="DS202" s="5">
        <v>-2.7977784834234999E-2</v>
      </c>
      <c r="DT202" s="5">
        <v>0.315047516567598</v>
      </c>
      <c r="DU202" s="5">
        <v>-0.192806457163964</v>
      </c>
      <c r="DV202" s="5">
        <v>0.15377715763720701</v>
      </c>
      <c r="DW202" s="5">
        <v>3.1762432470452399E-2</v>
      </c>
      <c r="DX202" s="5">
        <v>0.13105543859171501</v>
      </c>
      <c r="DY202" s="5">
        <v>6.7243584395048295E-2</v>
      </c>
      <c r="DZ202" s="5">
        <v>0.14306668422150801</v>
      </c>
      <c r="EA202" s="5">
        <v>0.15505936091753</v>
      </c>
      <c r="EB202" s="5">
        <v>0.238965817865507</v>
      </c>
      <c r="EC202" s="5">
        <v>-5.1386982324781297E-2</v>
      </c>
      <c r="ED202" s="5">
        <v>0.27890032023276501</v>
      </c>
      <c r="EE202" s="5">
        <v>-5.0792549823461902E-2</v>
      </c>
      <c r="EF202" s="5">
        <v>9.4253059179211507E-2</v>
      </c>
      <c r="EG202" s="5">
        <v>3.8053980069015302E-2</v>
      </c>
      <c r="EH202" s="5">
        <v>0.32802482140683198</v>
      </c>
      <c r="EI202" s="5">
        <v>-8.5527209842534493E-2</v>
      </c>
      <c r="EJ202" s="5">
        <v>0.329228313934673</v>
      </c>
      <c r="EK202" s="5">
        <v>-7.0158881116021102E-2</v>
      </c>
      <c r="EL202" s="5">
        <v>0.348648190029687</v>
      </c>
      <c r="EM202" s="5">
        <v>-0.15640738325054501</v>
      </c>
      <c r="EN202" s="5">
        <v>0.69549790286825497</v>
      </c>
      <c r="EO202" s="5">
        <v>-0.39237523963356902</v>
      </c>
      <c r="EP202" s="5">
        <v>6.7283684639756106E-2</v>
      </c>
      <c r="EQ202" s="5">
        <v>4.7426047364336497E-2</v>
      </c>
      <c r="ER202" s="5">
        <v>0.28625222228087799</v>
      </c>
      <c r="ES202" s="5">
        <v>-3.3139544302413601E-2</v>
      </c>
      <c r="ET202" s="5">
        <v>0.12461017939178599</v>
      </c>
      <c r="EU202" s="5">
        <v>9.2082488337174001E-2</v>
      </c>
      <c r="EV202" s="5">
        <v>0.27637158217101299</v>
      </c>
      <c r="EW202" s="5">
        <v>-9.6819241570250597E-2</v>
      </c>
      <c r="EX202" s="5">
        <v>0.16994755515287699</v>
      </c>
      <c r="EY202" s="5">
        <v>5.09884704982074E-2</v>
      </c>
      <c r="EZ202" s="5">
        <v>0.27934023086226301</v>
      </c>
      <c r="FA202" s="5">
        <v>-6.9607965715444906E-2</v>
      </c>
      <c r="FB202" s="5">
        <v>0.416760079863431</v>
      </c>
      <c r="FC202" s="5">
        <v>-9.2176283984410606E-2</v>
      </c>
      <c r="FD202" s="5">
        <v>0.143398889611067</v>
      </c>
      <c r="FE202" s="5">
        <v>1.8682072378221299E-2</v>
      </c>
      <c r="FF202" s="5">
        <v>0.35925212889001901</v>
      </c>
      <c r="FG202" s="5">
        <v>-6.16160558887444E-2</v>
      </c>
      <c r="FH202" s="5">
        <v>0.32680165283093199</v>
      </c>
      <c r="FI202" s="5">
        <v>-0.16125207597746799</v>
      </c>
      <c r="FJ202" s="5">
        <v>0.22580084928067501</v>
      </c>
      <c r="FK202" s="5">
        <v>0.107208398506209</v>
      </c>
      <c r="FL202" s="5">
        <v>0.169628016461461</v>
      </c>
      <c r="FM202" s="5">
        <v>4.2327925738691999E-2</v>
      </c>
      <c r="FN202" s="5">
        <v>0.51458577039013897</v>
      </c>
      <c r="FO202" s="5">
        <v>-0.149697246436645</v>
      </c>
      <c r="FP202" s="5">
        <v>0.62619397906918906</v>
      </c>
      <c r="FQ202" s="5">
        <v>-0.391080926382463</v>
      </c>
      <c r="FR202" s="5">
        <v>3.4442349659318899E-4</v>
      </c>
      <c r="FS202" s="5">
        <v>-3.1983994122223602E-3</v>
      </c>
      <c r="FT202" s="5">
        <v>0.76712932298595804</v>
      </c>
      <c r="FU202" s="5">
        <v>-0.52190211451184598</v>
      </c>
      <c r="FV202" s="5">
        <v>0.5708249413384</v>
      </c>
      <c r="FW202" s="5">
        <v>-0.27006325558872901</v>
      </c>
      <c r="FX202" s="5">
        <v>0.26814151508010398</v>
      </c>
      <c r="FY202" s="5">
        <v>-0.10228100952102701</v>
      </c>
      <c r="FZ202" s="5">
        <v>0.76675106286030403</v>
      </c>
      <c r="GA202" s="5">
        <v>-0.50713014031658399</v>
      </c>
      <c r="GB202" s="5">
        <v>0.41546341684593402</v>
      </c>
      <c r="GC202" s="5">
        <v>-3.1850565115330999E-2</v>
      </c>
      <c r="GD202" s="5">
        <v>0.13811856854552401</v>
      </c>
      <c r="GE202" s="5">
        <v>2.5965910661082999E-2</v>
      </c>
      <c r="GF202" s="5">
        <v>0.27738717373552702</v>
      </c>
      <c r="GG202" s="5">
        <v>-1.38757737814292E-2</v>
      </c>
      <c r="GH202" s="5">
        <v>1.6549484132270201E-2</v>
      </c>
      <c r="GI202" s="5">
        <v>9.3134747871231202E-2</v>
      </c>
      <c r="GJ202" s="5">
        <v>0.19646444439633701</v>
      </c>
      <c r="GK202" s="5">
        <v>-2.1022476944293399E-2</v>
      </c>
      <c r="GL202" s="5">
        <v>7.8386434075146297E-2</v>
      </c>
      <c r="GM202" s="5">
        <v>4.6147608222460397E-2</v>
      </c>
      <c r="GN202" s="5">
        <v>0.43225071791846498</v>
      </c>
      <c r="GO202" s="5">
        <v>-5.1018705345877199E-2</v>
      </c>
      <c r="GP202" s="5">
        <v>0.445932598913092</v>
      </c>
      <c r="GQ202" s="5">
        <v>-0.21080716999010099</v>
      </c>
      <c r="GR202" s="5">
        <v>0.29984230118676303</v>
      </c>
      <c r="GS202" s="5">
        <v>-0.13235193244967799</v>
      </c>
      <c r="GT202" s="5">
        <v>1</v>
      </c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</row>
    <row r="203" spans="1:389" x14ac:dyDescent="0.45">
      <c r="A203" s="4" t="str">
        <f ca="1">"LBN / beta2dist in "&amp;CELL("address",'damages-1990'!$K$102)</f>
        <v>LBN / beta2dist in '[BHM betas v3pd.xlsx]damages-1990'!$K$102</v>
      </c>
      <c r="B203" s="6">
        <v>-0.107148630683781</v>
      </c>
      <c r="C203" s="5">
        <v>0.108313971284621</v>
      </c>
      <c r="D203" s="5">
        <v>0.119928744040527</v>
      </c>
      <c r="E203" s="5">
        <v>-5.0109543464909399E-3</v>
      </c>
      <c r="F203" s="5">
        <v>-0.27610331158204598</v>
      </c>
      <c r="G203" s="5">
        <v>0.33850733837061697</v>
      </c>
      <c r="H203" s="5">
        <v>-3.8910834705338099E-3</v>
      </c>
      <c r="I203" s="5">
        <v>-9.4581150684959606E-2</v>
      </c>
      <c r="J203" s="5">
        <v>-3.7916882324837399E-2</v>
      </c>
      <c r="K203" s="5">
        <v>0.17177032624124799</v>
      </c>
      <c r="L203" s="5">
        <v>-5.7147001972717597E-2</v>
      </c>
      <c r="M203" s="5">
        <v>9.5168855089680301E-2</v>
      </c>
      <c r="N203" s="5">
        <v>9.0466574487609003E-2</v>
      </c>
      <c r="O203" s="5">
        <v>-0.27039337051158302</v>
      </c>
      <c r="P203" s="5">
        <v>0.19006833584657301</v>
      </c>
      <c r="Q203" s="5">
        <v>-8.9532877452014895E-2</v>
      </c>
      <c r="R203" s="5">
        <v>-1.0362868776641899E-2</v>
      </c>
      <c r="S203" s="5">
        <v>0.101103299490636</v>
      </c>
      <c r="T203" s="5">
        <v>9.7047329481551203E-2</v>
      </c>
      <c r="U203" s="5">
        <v>-0.17712796424997199</v>
      </c>
      <c r="V203" s="5">
        <v>-0.255129196920516</v>
      </c>
      <c r="W203" s="5">
        <v>0.282133617555822</v>
      </c>
      <c r="X203" s="5">
        <v>7.6327384266902901E-2</v>
      </c>
      <c r="Y203" s="5">
        <v>1.2952023600869699E-2</v>
      </c>
      <c r="Z203" s="5">
        <v>-1.23891200304743E-2</v>
      </c>
      <c r="AA203" s="5">
        <v>-4.9844604393016002E-2</v>
      </c>
      <c r="AB203" s="5">
        <v>0.17480493714751399</v>
      </c>
      <c r="AC203" s="5">
        <v>-6.7676499894447198E-2</v>
      </c>
      <c r="AD203" s="5">
        <v>1.26107921784847E-2</v>
      </c>
      <c r="AE203" s="5">
        <v>8.1026557880897895E-2</v>
      </c>
      <c r="AF203" s="5">
        <v>1.8162540614495199E-2</v>
      </c>
      <c r="AG203" s="5">
        <v>5.6687097793129998E-2</v>
      </c>
      <c r="AH203" s="5">
        <v>-0.201889644309793</v>
      </c>
      <c r="AI203" s="5">
        <v>0.20954980266957299</v>
      </c>
      <c r="AJ203" s="5">
        <v>-8.88330160169922E-2</v>
      </c>
      <c r="AK203" s="5">
        <v>0.21560994000862599</v>
      </c>
      <c r="AL203" s="5">
        <v>0.127291294057048</v>
      </c>
      <c r="AM203" s="5">
        <v>-7.9669609176363704E-2</v>
      </c>
      <c r="AN203" s="5">
        <v>-2.7223870109279E-2</v>
      </c>
      <c r="AO203" s="5">
        <v>-2.7707644690306499E-2</v>
      </c>
      <c r="AP203" s="5">
        <v>-0.196647222318795</v>
      </c>
      <c r="AQ203" s="5">
        <v>0.17713429108408699</v>
      </c>
      <c r="AR203" s="5">
        <v>7.8768230793204705E-2</v>
      </c>
      <c r="AS203" s="5">
        <v>1.32533199910729E-2</v>
      </c>
      <c r="AT203" s="5">
        <v>0.192610660640986</v>
      </c>
      <c r="AU203" s="5">
        <v>-0.19871491976616701</v>
      </c>
      <c r="AV203" s="5">
        <v>1.4303587130950699E-2</v>
      </c>
      <c r="AW203" s="5">
        <v>9.9810412042016794E-2</v>
      </c>
      <c r="AX203" s="5">
        <v>9.0198020799659107E-2</v>
      </c>
      <c r="AY203" s="5">
        <v>-2.7179205946825601E-3</v>
      </c>
      <c r="AZ203" s="5">
        <v>0.17390183394176101</v>
      </c>
      <c r="BA203" s="5">
        <v>-4.8992953997830803E-2</v>
      </c>
      <c r="BB203" s="5">
        <v>-4.5979733324151402E-2</v>
      </c>
      <c r="BC203" s="5">
        <v>0.18912007479862999</v>
      </c>
      <c r="BD203" s="5">
        <v>-0.213499902014125</v>
      </c>
      <c r="BE203" s="5">
        <v>0.232310531694054</v>
      </c>
      <c r="BF203" s="5">
        <v>0.21371726231994101</v>
      </c>
      <c r="BG203" s="5">
        <v>-0.17527468850747899</v>
      </c>
      <c r="BH203" s="5">
        <v>0.13742828519808301</v>
      </c>
      <c r="BI203" s="5">
        <v>-1.19586702111038E-2</v>
      </c>
      <c r="BJ203" s="5">
        <v>-4.9824327841750997E-2</v>
      </c>
      <c r="BK203" s="5">
        <v>-0.10004362598107799</v>
      </c>
      <c r="BL203" s="5">
        <v>0.10343321889127299</v>
      </c>
      <c r="BM203" s="5">
        <v>-0.201383191802775</v>
      </c>
      <c r="BN203" s="5">
        <v>-0.164180347851031</v>
      </c>
      <c r="BO203" s="5">
        <v>8.7802535645210095E-2</v>
      </c>
      <c r="BP203" s="5">
        <v>-0.19334070607597201</v>
      </c>
      <c r="BQ203" s="5">
        <v>0.13920331788755</v>
      </c>
      <c r="BR203" s="5">
        <v>-3.8951865545766802E-2</v>
      </c>
      <c r="BS203" s="5">
        <v>0.118735687782089</v>
      </c>
      <c r="BT203" s="5">
        <v>5.6968638338239799E-2</v>
      </c>
      <c r="BU203" s="5">
        <v>7.8080688564156703E-2</v>
      </c>
      <c r="BV203" s="5">
        <v>2.48067423568148E-2</v>
      </c>
      <c r="BW203" s="5">
        <v>0.116693792279545</v>
      </c>
      <c r="BX203" s="5">
        <v>5.1810428162697097E-2</v>
      </c>
      <c r="BY203" s="5">
        <v>7.9243656193860701E-2</v>
      </c>
      <c r="BZ203" s="5">
        <v>-2.1154824906750601E-2</v>
      </c>
      <c r="CA203" s="5">
        <v>0.111165076963315</v>
      </c>
      <c r="CB203" s="5">
        <v>7.9647148650513297E-2</v>
      </c>
      <c r="CC203" s="5">
        <v>2.91577126019298E-2</v>
      </c>
      <c r="CD203" s="5">
        <v>0.17300849524859799</v>
      </c>
      <c r="CE203" s="5">
        <v>-0.136006212701066</v>
      </c>
      <c r="CF203" s="5">
        <v>0.172078291114202</v>
      </c>
      <c r="CG203" s="5">
        <v>-8.7371267687377296E-2</v>
      </c>
      <c r="CH203" s="5">
        <v>0.19722933273909099</v>
      </c>
      <c r="CI203" s="5">
        <v>-0.16622321131290499</v>
      </c>
      <c r="CJ203" s="5">
        <v>-0.52156878909722204</v>
      </c>
      <c r="CK203" s="5">
        <v>0.66955651350082701</v>
      </c>
      <c r="CL203" s="5">
        <v>1.8628695157747899E-2</v>
      </c>
      <c r="CM203" s="5">
        <v>-8.4503558056622893E-2</v>
      </c>
      <c r="CN203" s="5">
        <v>-2.7598618096124398E-2</v>
      </c>
      <c r="CO203" s="5">
        <v>-3.39837699938191E-2</v>
      </c>
      <c r="CP203" s="5">
        <v>-9.2438199046447095E-2</v>
      </c>
      <c r="CQ203" s="5">
        <v>0.15877818931117799</v>
      </c>
      <c r="CR203" s="5">
        <v>0.158150302373565</v>
      </c>
      <c r="CS203" s="5">
        <v>-4.5153024561677399E-2</v>
      </c>
      <c r="CT203" s="5">
        <v>-8.3644933596478205E-2</v>
      </c>
      <c r="CU203" s="5">
        <v>4.1843554913900301E-2</v>
      </c>
      <c r="CV203" s="5">
        <v>0.12360892543539501</v>
      </c>
      <c r="CW203" s="5">
        <v>-1.61232268642915E-2</v>
      </c>
      <c r="CX203" s="5">
        <v>-0.13496591264173999</v>
      </c>
      <c r="CY203" s="5">
        <v>0.25059221120311598</v>
      </c>
      <c r="CZ203" s="5">
        <v>5.1770978946976097E-2</v>
      </c>
      <c r="DA203" s="5">
        <v>-2.0555080088620399E-2</v>
      </c>
      <c r="DB203" s="5">
        <v>-0.23680862314943901</v>
      </c>
      <c r="DC203" s="5">
        <v>0.42006307446819702</v>
      </c>
      <c r="DD203" s="5">
        <v>-4.0757442699707498E-2</v>
      </c>
      <c r="DE203" s="5">
        <v>0.122660180973307</v>
      </c>
      <c r="DF203" s="5">
        <v>8.2651084514904605E-2</v>
      </c>
      <c r="DG203" s="5">
        <v>-1.03781555557028E-2</v>
      </c>
      <c r="DH203" s="5">
        <v>-0.16682120846016801</v>
      </c>
      <c r="DI203" s="5">
        <v>0.22082853275443301</v>
      </c>
      <c r="DJ203" s="5">
        <v>-0.24240373071649701</v>
      </c>
      <c r="DK203" s="5">
        <v>0.220469336665677</v>
      </c>
      <c r="DL203" s="5">
        <v>1.7717324691987901E-2</v>
      </c>
      <c r="DM203" s="5">
        <v>0.110252838773062</v>
      </c>
      <c r="DN203" s="5">
        <v>-0.21793844360023101</v>
      </c>
      <c r="DO203" s="5">
        <v>0.18272988307393101</v>
      </c>
      <c r="DP203" s="5">
        <v>-2.87365718709655E-2</v>
      </c>
      <c r="DQ203" s="5">
        <v>5.8610033919491898E-2</v>
      </c>
      <c r="DR203" s="5">
        <v>-9.6699690811733602E-2</v>
      </c>
      <c r="DS203" s="5">
        <v>5.8580217604359303E-2</v>
      </c>
      <c r="DT203" s="5">
        <v>-0.20531043828241599</v>
      </c>
      <c r="DU203" s="5">
        <v>0.25354378711897502</v>
      </c>
      <c r="DV203" s="5">
        <v>7.7622679265518302E-2</v>
      </c>
      <c r="DW203" s="5">
        <v>2.1250938210973899E-3</v>
      </c>
      <c r="DX203" s="5">
        <v>-7.4974220324558194E-2</v>
      </c>
      <c r="DY203" s="5">
        <v>2.5915061364664399E-2</v>
      </c>
      <c r="DZ203" s="5">
        <v>5.9074439069998999E-2</v>
      </c>
      <c r="EA203" s="5">
        <v>-0.239463146718428</v>
      </c>
      <c r="EB203" s="5">
        <v>4.3950265519651102E-2</v>
      </c>
      <c r="EC203" s="5">
        <v>6.6412894742917505E-2</v>
      </c>
      <c r="ED203" s="5">
        <v>5.2682116210806498E-2</v>
      </c>
      <c r="EE203" s="5">
        <v>4.3705186851415098E-2</v>
      </c>
      <c r="EF203" s="5">
        <v>0.17035760224652799</v>
      </c>
      <c r="EG203" s="5">
        <v>-6.7409079153481405E-2</v>
      </c>
      <c r="EH203" s="5">
        <v>1.36533218986651E-2</v>
      </c>
      <c r="EI203" s="5">
        <v>8.9805470180959093E-2</v>
      </c>
      <c r="EJ203" s="5">
        <v>-2.3240469562998398E-3</v>
      </c>
      <c r="EK203" s="5">
        <v>8.3227122728765202E-2</v>
      </c>
      <c r="EL203" s="5">
        <v>4.0246569180051102E-2</v>
      </c>
      <c r="EM203" s="5">
        <v>8.4309334709352202E-2</v>
      </c>
      <c r="EN203" s="5">
        <v>-0.46040256938374302</v>
      </c>
      <c r="EO203" s="5">
        <v>0.55528875305722802</v>
      </c>
      <c r="EP203" s="5">
        <v>0.19724508635917601</v>
      </c>
      <c r="EQ203" s="5">
        <v>-7.9843048597865798E-2</v>
      </c>
      <c r="ER203" s="5">
        <v>8.5089918017856397E-2</v>
      </c>
      <c r="ES203" s="5">
        <v>-5.8631388139348704E-3</v>
      </c>
      <c r="ET203" s="5">
        <v>0.33091388129795302</v>
      </c>
      <c r="EU203" s="5">
        <v>-0.27770665429282299</v>
      </c>
      <c r="EV203" s="5">
        <v>0.106066593542902</v>
      </c>
      <c r="EW203" s="5">
        <v>1.19339612958767E-2</v>
      </c>
      <c r="EX203" s="5">
        <v>0.25409906578314201</v>
      </c>
      <c r="EY203" s="5">
        <v>-0.21059444239188599</v>
      </c>
      <c r="EZ203" s="5">
        <v>5.3266663738146397E-2</v>
      </c>
      <c r="FA203" s="5">
        <v>8.2080463703423298E-2</v>
      </c>
      <c r="FB203" s="5">
        <v>-0.13408014654200601</v>
      </c>
      <c r="FC203" s="5">
        <v>0.13103723155218699</v>
      </c>
      <c r="FD203" s="5">
        <v>0.109538698060847</v>
      </c>
      <c r="FE203" s="5">
        <v>2.85704219892461E-3</v>
      </c>
      <c r="FF203" s="5">
        <v>-0.129707481521665</v>
      </c>
      <c r="FG203" s="5">
        <v>0.118243983911467</v>
      </c>
      <c r="FH203" s="5">
        <v>7.0282572403124202E-2</v>
      </c>
      <c r="FI203" s="5">
        <v>5.9145241628627797E-2</v>
      </c>
      <c r="FJ203" s="5">
        <v>0.22800738210753899</v>
      </c>
      <c r="FK203" s="5">
        <v>-0.178088121568279</v>
      </c>
      <c r="FL203" s="5">
        <v>-0.110788421357487</v>
      </c>
      <c r="FM203" s="5">
        <v>7.2819692029180802E-2</v>
      </c>
      <c r="FN203" s="5">
        <v>-0.17729235307063301</v>
      </c>
      <c r="FO203" s="5">
        <v>0.27054323083804299</v>
      </c>
      <c r="FP203" s="5">
        <v>-0.37047369580900102</v>
      </c>
      <c r="FQ203" s="5">
        <v>0.564991017690747</v>
      </c>
      <c r="FR203" s="5">
        <v>-2.75759846912541E-2</v>
      </c>
      <c r="FS203" s="5">
        <v>5.9171067159114001E-2</v>
      </c>
      <c r="FT203" s="5">
        <v>-0.49334140681716299</v>
      </c>
      <c r="FU203" s="5">
        <v>0.72463618685229003</v>
      </c>
      <c r="FV203" s="5">
        <v>-0.22228179796704101</v>
      </c>
      <c r="FW203" s="5">
        <v>0.30703879317899502</v>
      </c>
      <c r="FX203" s="5">
        <v>3.9943841312182198E-2</v>
      </c>
      <c r="FY203" s="5">
        <v>5.7104814461671198E-2</v>
      </c>
      <c r="FZ203" s="5">
        <v>-0.46135644263578701</v>
      </c>
      <c r="GA203" s="5">
        <v>0.70835228945879303</v>
      </c>
      <c r="GB203" s="5">
        <v>-0.14840399831327999</v>
      </c>
      <c r="GC203" s="5">
        <v>0.13516820254928</v>
      </c>
      <c r="GD203" s="5">
        <v>-0.15297668622552901</v>
      </c>
      <c r="GE203" s="5">
        <v>9.8468036423940794E-2</v>
      </c>
      <c r="GF203" s="5">
        <v>0.14766979049513301</v>
      </c>
      <c r="GG203" s="5">
        <v>-5.0814280267358999E-2</v>
      </c>
      <c r="GH203" s="5">
        <v>-6.7370998144650598E-2</v>
      </c>
      <c r="GI203" s="5">
        <v>-5.6634450353972403E-2</v>
      </c>
      <c r="GJ203" s="5">
        <v>0.20649785316463801</v>
      </c>
      <c r="GK203" s="5">
        <v>-0.125643419096507</v>
      </c>
      <c r="GL203" s="5">
        <v>0.14560416316559799</v>
      </c>
      <c r="GM203" s="5">
        <v>-3.66222513314063E-2</v>
      </c>
      <c r="GN203" s="5">
        <v>-0.13976172349379201</v>
      </c>
      <c r="GO203" s="5">
        <v>0.156844613843585</v>
      </c>
      <c r="GP203" s="5">
        <v>-0.156912700892364</v>
      </c>
      <c r="GQ203" s="5">
        <v>0.31990426949658202</v>
      </c>
      <c r="GR203" s="5">
        <v>9.3086311505990699E-2</v>
      </c>
      <c r="GS203" s="5">
        <v>3.4779818934816999E-2</v>
      </c>
      <c r="GT203" s="5">
        <v>-0.75577544970646504</v>
      </c>
      <c r="GU203" s="5">
        <v>1</v>
      </c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</row>
    <row r="204" spans="1:389" x14ac:dyDescent="0.45">
      <c r="A204" s="4" t="str">
        <f ca="1">"LBR / beta1dist in "&amp;CELL("address",'damages-1990'!$J$103)</f>
        <v>LBR / beta1dist in '[BHM betas v3pd.xlsx]damages-1990'!$J$103</v>
      </c>
      <c r="B204" s="6">
        <v>0.14716691327275899</v>
      </c>
      <c r="C204" s="5">
        <v>0.151198124858473</v>
      </c>
      <c r="D204" s="5">
        <v>0.62987689535202296</v>
      </c>
      <c r="E204" s="5">
        <v>-0.35457126753686702</v>
      </c>
      <c r="F204" s="5">
        <v>0.210170262325094</v>
      </c>
      <c r="G204" s="5">
        <v>-9.50707006125696E-2</v>
      </c>
      <c r="H204" s="5">
        <v>0.16472636618728401</v>
      </c>
      <c r="I204" s="5">
        <v>-0.18721905848527201</v>
      </c>
      <c r="J204" s="5">
        <v>0.432246818257217</v>
      </c>
      <c r="K204" s="5">
        <v>-0.19654973145749299</v>
      </c>
      <c r="L204" s="5">
        <v>0.24669186235447499</v>
      </c>
      <c r="M204" s="5">
        <v>6.5002663966439195E-2</v>
      </c>
      <c r="N204" s="5">
        <v>1.8572758721309101E-2</v>
      </c>
      <c r="O204" s="5">
        <v>-2.5049936590550999E-2</v>
      </c>
      <c r="P204" s="5">
        <v>0.35134438998880302</v>
      </c>
      <c r="Q204" s="5">
        <v>-0.18830907647669001</v>
      </c>
      <c r="R204" s="5">
        <v>0.65554980638403604</v>
      </c>
      <c r="S204" s="5">
        <v>-0.493874150550146</v>
      </c>
      <c r="T204" s="5">
        <v>0.16844412263577599</v>
      </c>
      <c r="U204" s="5">
        <v>-0.19165669499324101</v>
      </c>
      <c r="V204" s="5">
        <v>0.11490072444812199</v>
      </c>
      <c r="W204" s="5">
        <v>0.20870197615727001</v>
      </c>
      <c r="X204" s="5">
        <v>0.669420209024704</v>
      </c>
      <c r="Y204" s="5">
        <v>-0.425084194136372</v>
      </c>
      <c r="Z204" s="5">
        <v>0.18443674142208799</v>
      </c>
      <c r="AA204" s="5">
        <v>-0.14556300780690401</v>
      </c>
      <c r="AB204" s="5">
        <v>0.67065138337674302</v>
      </c>
      <c r="AC204" s="5">
        <v>-0.39950075334937402</v>
      </c>
      <c r="AD204" s="5">
        <v>0.58416538966527398</v>
      </c>
      <c r="AE204" s="5">
        <v>-0.26487341059393599</v>
      </c>
      <c r="AF204" s="5">
        <v>-3.49670065284318E-2</v>
      </c>
      <c r="AG204" s="5">
        <v>0.26809873089192798</v>
      </c>
      <c r="AH204" s="5">
        <v>0.19435342401781999</v>
      </c>
      <c r="AI204" s="5">
        <v>-0.10978843560969</v>
      </c>
      <c r="AJ204" s="5">
        <v>0.30858235483577801</v>
      </c>
      <c r="AK204" s="5">
        <v>-8.7946218030480305E-2</v>
      </c>
      <c r="AL204" s="5">
        <v>0.341514850267363</v>
      </c>
      <c r="AM204" s="5">
        <v>-0.22927740854711701</v>
      </c>
      <c r="AN204" s="5">
        <v>0.16641125392981501</v>
      </c>
      <c r="AO204" s="5">
        <v>-0.11681709759915899</v>
      </c>
      <c r="AP204" s="5">
        <v>3.4838837556336301E-2</v>
      </c>
      <c r="AQ204" s="5">
        <v>-1.8654786595165701E-2</v>
      </c>
      <c r="AR204" s="5">
        <v>0.35200747199175603</v>
      </c>
      <c r="AS204" s="5">
        <v>-0.16920485471407201</v>
      </c>
      <c r="AT204" s="5">
        <v>0.15125408176431099</v>
      </c>
      <c r="AU204" s="5">
        <v>1.06062679799917E-2</v>
      </c>
      <c r="AV204" s="5">
        <v>0.44560663881148899</v>
      </c>
      <c r="AW204" s="5">
        <v>-0.27250930657864803</v>
      </c>
      <c r="AX204" s="5">
        <v>0.52361484278563997</v>
      </c>
      <c r="AY204" s="5">
        <v>-0.39594369028126902</v>
      </c>
      <c r="AZ204" s="5">
        <v>0.31653278875989999</v>
      </c>
      <c r="BA204" s="5">
        <v>-0.15987683834837901</v>
      </c>
      <c r="BB204" s="5">
        <v>0.55133351585971602</v>
      </c>
      <c r="BC204" s="5">
        <v>-0.244678536038446</v>
      </c>
      <c r="BD204" s="5">
        <v>0.10863102839067899</v>
      </c>
      <c r="BE204" s="5">
        <v>0.13887266586441199</v>
      </c>
      <c r="BF204" s="5">
        <v>0.48583312744610102</v>
      </c>
      <c r="BG204" s="5">
        <v>-0.28673660899116099</v>
      </c>
      <c r="BH204" s="5">
        <v>0.61125795470275601</v>
      </c>
      <c r="BI204" s="5">
        <v>-0.33895071392276499</v>
      </c>
      <c r="BJ204" s="5">
        <v>-0.22851964908949601</v>
      </c>
      <c r="BK204" s="5">
        <v>0.25735477381684302</v>
      </c>
      <c r="BL204" s="5">
        <v>0.21975744897885999</v>
      </c>
      <c r="BM204" s="5">
        <v>-0.261499576345602</v>
      </c>
      <c r="BN204" s="5">
        <v>-9.26415346190195E-2</v>
      </c>
      <c r="BO204" s="5">
        <v>0.18379988308669101</v>
      </c>
      <c r="BP204" s="5">
        <v>-6.1091197554161598E-2</v>
      </c>
      <c r="BQ204" s="5">
        <v>0.18952835477816199</v>
      </c>
      <c r="BR204" s="5">
        <v>0.74551630145236103</v>
      </c>
      <c r="BS204" s="5">
        <v>-0.42826430190895798</v>
      </c>
      <c r="BT204" s="5">
        <v>0.65693683891184396</v>
      </c>
      <c r="BU204" s="5">
        <v>-0.42117246139979603</v>
      </c>
      <c r="BV204" s="5">
        <v>0.71249915690503596</v>
      </c>
      <c r="BW204" s="5">
        <v>-0.45576743096313599</v>
      </c>
      <c r="BX204" s="5">
        <v>0.75679643942331598</v>
      </c>
      <c r="BY204" s="5">
        <v>-0.52567258649023396</v>
      </c>
      <c r="BZ204" s="5">
        <v>0.63146945740590199</v>
      </c>
      <c r="CA204" s="5">
        <v>-0.42541893364185901</v>
      </c>
      <c r="CB204" s="5">
        <v>0.52234265630871501</v>
      </c>
      <c r="CC204" s="5">
        <v>-0.42566507198845499</v>
      </c>
      <c r="CD204" s="5">
        <v>0.16415516174386699</v>
      </c>
      <c r="CE204" s="5">
        <v>-4.0283831732681602E-3</v>
      </c>
      <c r="CF204" s="5">
        <v>0.37520267702902499</v>
      </c>
      <c r="CG204" s="5">
        <v>-0.231058858500958</v>
      </c>
      <c r="CH204" s="5">
        <v>0.36106890858781199</v>
      </c>
      <c r="CI204" s="5">
        <v>-0.22277301683867501</v>
      </c>
      <c r="CJ204" s="5">
        <v>2.2970847612941998E-2</v>
      </c>
      <c r="CK204" s="5">
        <v>8.1784247411067795E-2</v>
      </c>
      <c r="CL204" s="5">
        <v>0.172406084622309</v>
      </c>
      <c r="CM204" s="5">
        <v>-0.16507888142156901</v>
      </c>
      <c r="CN204" s="5">
        <v>0.19303066333018001</v>
      </c>
      <c r="CO204" s="5">
        <v>-0.17077336653890299</v>
      </c>
      <c r="CP204" s="5">
        <v>0.34296296788645902</v>
      </c>
      <c r="CQ204" s="5">
        <v>-0.105190624562949</v>
      </c>
      <c r="CR204" s="5">
        <v>0.37427912608689701</v>
      </c>
      <c r="CS204" s="5">
        <v>-0.1927537097282</v>
      </c>
      <c r="CT204" s="5">
        <v>0.17787758160782</v>
      </c>
      <c r="CU204" s="5">
        <v>-0.16967487256019201</v>
      </c>
      <c r="CV204" s="5">
        <v>0.67729840762371196</v>
      </c>
      <c r="CW204" s="5">
        <v>-0.49676700281531</v>
      </c>
      <c r="CX204" s="5">
        <v>0.35278005775277399</v>
      </c>
      <c r="CY204" s="5">
        <v>-0.110546383505729</v>
      </c>
      <c r="CZ204" s="5">
        <v>0.64590002496226295</v>
      </c>
      <c r="DA204" s="5">
        <v>-0.49345085596938298</v>
      </c>
      <c r="DB204" s="5">
        <v>0.35952804352224099</v>
      </c>
      <c r="DC204" s="5">
        <v>-9.8982110873098494E-2</v>
      </c>
      <c r="DD204" s="5">
        <v>0.36201745893787701</v>
      </c>
      <c r="DE204" s="5">
        <v>-9.1337250603427206E-2</v>
      </c>
      <c r="DF204" s="5">
        <v>0.21805507952942699</v>
      </c>
      <c r="DG204" s="5">
        <v>6.1094928003880104E-3</v>
      </c>
      <c r="DH204" s="5">
        <v>0.22653757942977401</v>
      </c>
      <c r="DI204" s="5">
        <v>-9.3979780407308006E-2</v>
      </c>
      <c r="DJ204" s="5">
        <v>9.5439638678584803E-3</v>
      </c>
      <c r="DK204" s="5">
        <v>-2.42209498778687E-2</v>
      </c>
      <c r="DL204" s="5">
        <v>0.469098176071718</v>
      </c>
      <c r="DM204" s="5">
        <v>-0.17990592705342001</v>
      </c>
      <c r="DN204" s="5">
        <v>-5.9735717263968799E-2</v>
      </c>
      <c r="DO204" s="5">
        <v>2.08512603658879E-2</v>
      </c>
      <c r="DP204" s="5">
        <v>0.22350931385903799</v>
      </c>
      <c r="DQ204" s="5">
        <v>6.8184313453399495E-2</v>
      </c>
      <c r="DR204" s="5">
        <v>0.19971823773974401</v>
      </c>
      <c r="DS204" s="5">
        <v>-0.119316659989507</v>
      </c>
      <c r="DT204" s="5">
        <v>0.129101764807971</v>
      </c>
      <c r="DU204" s="5">
        <v>3.4727470080788699E-2</v>
      </c>
      <c r="DV204" s="5">
        <v>0.83520237918069495</v>
      </c>
      <c r="DW204" s="5">
        <v>-0.63728551764166896</v>
      </c>
      <c r="DX204" s="5">
        <v>8.9606099403333805E-2</v>
      </c>
      <c r="DY204" s="5">
        <v>-4.6769211974658199E-2</v>
      </c>
      <c r="DZ204" s="5">
        <v>6.5366358452833298E-2</v>
      </c>
      <c r="EA204" s="5">
        <v>-7.4189437680746095E-2</v>
      </c>
      <c r="EB204" s="5">
        <v>0.68755342806502195</v>
      </c>
      <c r="EC204" s="5">
        <v>-0.405707662828725</v>
      </c>
      <c r="ED204" s="5">
        <v>0.73979727469366996</v>
      </c>
      <c r="EE204" s="5">
        <v>-0.42609049207942901</v>
      </c>
      <c r="EF204" s="5">
        <v>0.36204896027587602</v>
      </c>
      <c r="EG204" s="5">
        <v>-0.19329795156586199</v>
      </c>
      <c r="EH204" s="5">
        <v>0.533837701610548</v>
      </c>
      <c r="EI204" s="5">
        <v>-0.236940886475454</v>
      </c>
      <c r="EJ204" s="5">
        <v>0.58829448909717297</v>
      </c>
      <c r="EK204" s="5">
        <v>-0.30054635303903499</v>
      </c>
      <c r="EL204" s="5">
        <v>0.67700959005406802</v>
      </c>
      <c r="EM204" s="5">
        <v>-0.43934506857454902</v>
      </c>
      <c r="EN204" s="5">
        <v>0.194808611067468</v>
      </c>
      <c r="EO204" s="5">
        <v>-6.3700961355368096E-2</v>
      </c>
      <c r="EP204" s="5">
        <v>0.44751280604358001</v>
      </c>
      <c r="EQ204" s="5">
        <v>-0.320862757866961</v>
      </c>
      <c r="ER204" s="5">
        <v>0.39100929277378599</v>
      </c>
      <c r="ES204" s="5">
        <v>-0.193104288883162</v>
      </c>
      <c r="ET204" s="5">
        <v>0.358533232469677</v>
      </c>
      <c r="EU204" s="5">
        <v>-0.267704078345194</v>
      </c>
      <c r="EV204" s="5">
        <v>0.31332014052849</v>
      </c>
      <c r="EW204" s="5">
        <v>-0.25955233444284997</v>
      </c>
      <c r="EX204" s="5">
        <v>4.5302344544467202E-2</v>
      </c>
      <c r="EY204" s="5">
        <v>6.3830503750989601E-2</v>
      </c>
      <c r="EZ204" s="5">
        <v>0.33717440934458898</v>
      </c>
      <c r="FA204" s="5">
        <v>-0.14241035115609901</v>
      </c>
      <c r="FB204" s="5">
        <v>0.18368135437472299</v>
      </c>
      <c r="FC204" s="5">
        <v>-6.53650717355687E-2</v>
      </c>
      <c r="FD204" s="5">
        <v>0.62158718975633398</v>
      </c>
      <c r="FE204" s="5">
        <v>-0.44358866772158301</v>
      </c>
      <c r="FF204" s="5">
        <v>0.158914669088243</v>
      </c>
      <c r="FG204" s="5">
        <v>-6.5032844223548006E-2</v>
      </c>
      <c r="FH204" s="5">
        <v>0.474014922490755</v>
      </c>
      <c r="FI204" s="5">
        <v>-0.20117073887262299</v>
      </c>
      <c r="FJ204" s="5">
        <v>0.38817847648678</v>
      </c>
      <c r="FK204" s="5">
        <v>-8.9896533990012198E-2</v>
      </c>
      <c r="FL204" s="5">
        <v>-5.3518588773586402E-2</v>
      </c>
      <c r="FM204" s="5">
        <v>0.13841365468751601</v>
      </c>
      <c r="FN204" s="5">
        <v>0.26245678435738201</v>
      </c>
      <c r="FO204" s="5">
        <v>3.7394893070140899E-2</v>
      </c>
      <c r="FP204" s="5">
        <v>0.26279307891329801</v>
      </c>
      <c r="FQ204" s="5">
        <v>1.49484333309974E-2</v>
      </c>
      <c r="FR204" s="5">
        <v>-4.1251327134102102E-2</v>
      </c>
      <c r="FS204" s="5">
        <v>7.8978545099633701E-2</v>
      </c>
      <c r="FT204" s="5">
        <v>0.23691044085183699</v>
      </c>
      <c r="FU204" s="5">
        <v>1.4310899267454E-3</v>
      </c>
      <c r="FV204" s="5">
        <v>0.19683652901166299</v>
      </c>
      <c r="FW204" s="5">
        <v>-1.6014009296412401E-2</v>
      </c>
      <c r="FX204" s="5">
        <v>0.48719609054315199</v>
      </c>
      <c r="FY204" s="5">
        <v>-0.327854113507075</v>
      </c>
      <c r="FZ204" s="5">
        <v>0.33746510536277902</v>
      </c>
      <c r="GA204" s="5">
        <v>-6.8253899158359596E-2</v>
      </c>
      <c r="GB204" s="5">
        <v>0.14594823304761501</v>
      </c>
      <c r="GC204" s="5">
        <v>1.2016660218853399E-2</v>
      </c>
      <c r="GD204" s="5">
        <v>-6.1898847723421802E-2</v>
      </c>
      <c r="GE204" s="5">
        <v>8.2949008795885501E-2</v>
      </c>
      <c r="GF204" s="5">
        <v>0.40015270250888602</v>
      </c>
      <c r="GG204" s="5">
        <v>-0.153561438969364</v>
      </c>
      <c r="GH204" s="5">
        <v>-0.26021127390630799</v>
      </c>
      <c r="GI204" s="5">
        <v>0.24201338208154899</v>
      </c>
      <c r="GJ204" s="5">
        <v>0.36956144739209701</v>
      </c>
      <c r="GK204" s="5">
        <v>-0.29340408287375502</v>
      </c>
      <c r="GL204" s="5">
        <v>0.41068559408030098</v>
      </c>
      <c r="GM204" s="5">
        <v>-0.23967873786433799</v>
      </c>
      <c r="GN204" s="5">
        <v>0.20485869183133301</v>
      </c>
      <c r="GO204" s="5">
        <v>-6.8671287106798401E-2</v>
      </c>
      <c r="GP204" s="5">
        <v>0.27261300882428802</v>
      </c>
      <c r="GQ204" s="5">
        <v>-1.9327555930344499E-2</v>
      </c>
      <c r="GR204" s="5">
        <v>0.41644192894271698</v>
      </c>
      <c r="GS204" s="5">
        <v>-0.294902220455527</v>
      </c>
      <c r="GT204" s="5">
        <v>0.13074056492588401</v>
      </c>
      <c r="GU204" s="5">
        <v>0.146787113334411</v>
      </c>
      <c r="GV204" s="5">
        <v>1</v>
      </c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</row>
    <row r="205" spans="1:389" x14ac:dyDescent="0.45">
      <c r="A205" s="4" t="str">
        <f ca="1">"LBR / beta2dist in "&amp;CELL("address",'damages-1990'!$K$103)</f>
        <v>LBR / beta2dist in '[BHM betas v3pd.xlsx]damages-1990'!$K$103</v>
      </c>
      <c r="B205" s="6">
        <v>-3.5799721497882603E-2</v>
      </c>
      <c r="C205" s="5">
        <v>9.1907920583221697E-2</v>
      </c>
      <c r="D205" s="5">
        <v>-0.438184451438971</v>
      </c>
      <c r="E205" s="5">
        <v>0.62687881937811096</v>
      </c>
      <c r="F205" s="5">
        <v>-8.0551754473523696E-2</v>
      </c>
      <c r="G205" s="5">
        <v>0.150276790460312</v>
      </c>
      <c r="H205" s="5">
        <v>-0.144461331200127</v>
      </c>
      <c r="I205" s="5">
        <v>9.1996457012982299E-2</v>
      </c>
      <c r="J205" s="5">
        <v>-0.23822574538876501</v>
      </c>
      <c r="K205" s="5">
        <v>0.38381487647484003</v>
      </c>
      <c r="L205" s="5">
        <v>8.1852551887336804E-3</v>
      </c>
      <c r="M205" s="5">
        <v>-1.5043176014016901E-2</v>
      </c>
      <c r="N205" s="5">
        <v>-6.1449709943599599E-2</v>
      </c>
      <c r="O205" s="5">
        <v>8.3692354670064695E-2</v>
      </c>
      <c r="P205" s="5">
        <v>-0.453285148564115</v>
      </c>
      <c r="Q205" s="5">
        <v>0.53708375218048598</v>
      </c>
      <c r="R205" s="5">
        <v>-0.40432638559449902</v>
      </c>
      <c r="S205" s="5">
        <v>0.66503452036501498</v>
      </c>
      <c r="T205" s="5">
        <v>-0.27771046164007002</v>
      </c>
      <c r="U205" s="5">
        <v>0.30600531237237</v>
      </c>
      <c r="V205" s="5">
        <v>6.55426564857957E-2</v>
      </c>
      <c r="W205" s="5">
        <v>-0.114224777428669</v>
      </c>
      <c r="X205" s="5">
        <v>-0.50588275470504795</v>
      </c>
      <c r="Y205" s="5">
        <v>0.68534956815909598</v>
      </c>
      <c r="Z205" s="5">
        <v>-0.169033380981256</v>
      </c>
      <c r="AA205" s="5">
        <v>0.20832458178407701</v>
      </c>
      <c r="AB205" s="5">
        <v>-0.51829083309580704</v>
      </c>
      <c r="AC205" s="5">
        <v>0.66862732752080001</v>
      </c>
      <c r="AD205" s="5">
        <v>-0.47296791506882202</v>
      </c>
      <c r="AE205" s="5">
        <v>0.578879286365518</v>
      </c>
      <c r="AF205" s="5">
        <v>0.149853418015583</v>
      </c>
      <c r="AG205" s="5">
        <v>-3.0792442086679399E-2</v>
      </c>
      <c r="AH205" s="5">
        <v>-0.101484078355303</v>
      </c>
      <c r="AI205" s="5">
        <v>0.168139929481643</v>
      </c>
      <c r="AJ205" s="5">
        <v>-0.17627544266768899</v>
      </c>
      <c r="AK205" s="5">
        <v>0.292516012468168</v>
      </c>
      <c r="AL205" s="5">
        <v>-4.9550778503435998E-2</v>
      </c>
      <c r="AM205" s="5">
        <v>0.116968071317277</v>
      </c>
      <c r="AN205" s="5">
        <v>-0.20471739471266701</v>
      </c>
      <c r="AO205" s="5">
        <v>0.258315772769453</v>
      </c>
      <c r="AP205" s="5">
        <v>-0.129276797892138</v>
      </c>
      <c r="AQ205" s="5">
        <v>0.14077060069218</v>
      </c>
      <c r="AR205" s="5">
        <v>-0.16347025954231201</v>
      </c>
      <c r="AS205" s="5">
        <v>0.30745407941090402</v>
      </c>
      <c r="AT205" s="5">
        <v>0.134774522751715</v>
      </c>
      <c r="AU205" s="5">
        <v>-0.131333531295623</v>
      </c>
      <c r="AV205" s="5">
        <v>-0.198727466241991</v>
      </c>
      <c r="AW205" s="5">
        <v>0.47600765378624199</v>
      </c>
      <c r="AX205" s="5">
        <v>-0.32446835337406099</v>
      </c>
      <c r="AY205" s="5">
        <v>0.64671429853420304</v>
      </c>
      <c r="AZ205" s="5">
        <v>-0.40434859592005101</v>
      </c>
      <c r="BA205" s="5">
        <v>0.49135723563343398</v>
      </c>
      <c r="BB205" s="5">
        <v>-0.27258091251433197</v>
      </c>
      <c r="BC205" s="5">
        <v>0.41143217409237298</v>
      </c>
      <c r="BD205" s="5">
        <v>-5.3359109415079702E-2</v>
      </c>
      <c r="BE205" s="5">
        <v>0.106465462531729</v>
      </c>
      <c r="BF205" s="5">
        <v>-0.33128969593938801</v>
      </c>
      <c r="BG205" s="5">
        <v>0.480890641092171</v>
      </c>
      <c r="BH205" s="5">
        <v>-0.43952851406487897</v>
      </c>
      <c r="BI205" s="5">
        <v>0.64449234207248396</v>
      </c>
      <c r="BJ205" s="5">
        <v>3.25528637912069E-2</v>
      </c>
      <c r="BK205" s="5">
        <v>-0.24138066110432699</v>
      </c>
      <c r="BL205" s="5">
        <v>-0.328933350077317</v>
      </c>
      <c r="BM205" s="5">
        <v>0.34224698935030501</v>
      </c>
      <c r="BN205" s="5">
        <v>7.4803707670831998E-2</v>
      </c>
      <c r="BO205" s="5">
        <v>-0.139171043658882</v>
      </c>
      <c r="BP205" s="5">
        <v>5.3609115395392197E-2</v>
      </c>
      <c r="BQ205" s="5">
        <v>-0.19951691167822</v>
      </c>
      <c r="BR205" s="5">
        <v>-0.65239829837790697</v>
      </c>
      <c r="BS205" s="5">
        <v>0.761188512152566</v>
      </c>
      <c r="BT205" s="5">
        <v>-0.43373748052640598</v>
      </c>
      <c r="BU205" s="5">
        <v>0.69073270781890606</v>
      </c>
      <c r="BV205" s="5">
        <v>-0.50163420040931195</v>
      </c>
      <c r="BW205" s="5">
        <v>0.71356935620298501</v>
      </c>
      <c r="BX205" s="5">
        <v>-0.52449074883474001</v>
      </c>
      <c r="BY205" s="5">
        <v>0.736126953656147</v>
      </c>
      <c r="BZ205" s="5">
        <v>-0.45469652826285401</v>
      </c>
      <c r="CA205" s="5">
        <v>0.67928440212697005</v>
      </c>
      <c r="CB205" s="5">
        <v>-0.31497908776026201</v>
      </c>
      <c r="CC205" s="5">
        <v>0.51888766716422396</v>
      </c>
      <c r="CD205" s="5">
        <v>-0.137202324272196</v>
      </c>
      <c r="CE205" s="5">
        <v>0.22952047095898601</v>
      </c>
      <c r="CF205" s="5">
        <v>-0.40315253390017403</v>
      </c>
      <c r="CG205" s="5">
        <v>0.54522739280947197</v>
      </c>
      <c r="CH205" s="5">
        <v>-5.7533289124549303E-2</v>
      </c>
      <c r="CI205" s="5">
        <v>0.103657430315825</v>
      </c>
      <c r="CJ205" s="5">
        <v>0.16141273088666999</v>
      </c>
      <c r="CK205" s="5">
        <v>-9.8181626114106399E-2</v>
      </c>
      <c r="CL205" s="5">
        <v>-0.21716734705933699</v>
      </c>
      <c r="CM205" s="5">
        <v>0.247631196765877</v>
      </c>
      <c r="CN205" s="5">
        <v>-0.20115539356245801</v>
      </c>
      <c r="CO205" s="5">
        <v>0.22996021449029</v>
      </c>
      <c r="CP205" s="5">
        <v>-0.39844304743343001</v>
      </c>
      <c r="CQ205" s="5">
        <v>0.46461648174179299</v>
      </c>
      <c r="CR205" s="5">
        <v>-0.452229598757935</v>
      </c>
      <c r="CS205" s="5">
        <v>0.53665803706175796</v>
      </c>
      <c r="CT205" s="5">
        <v>-0.208906918957801</v>
      </c>
      <c r="CU205" s="5">
        <v>0.22775030989780601</v>
      </c>
      <c r="CV205" s="5">
        <v>-0.61066423588835095</v>
      </c>
      <c r="CW205" s="5">
        <v>0.71172425011034401</v>
      </c>
      <c r="CX205" s="5">
        <v>-0.17216626509067601</v>
      </c>
      <c r="CY205" s="5">
        <v>0.31845033171964299</v>
      </c>
      <c r="CZ205" s="5">
        <v>-0.486441230467551</v>
      </c>
      <c r="DA205" s="5">
        <v>0.71013952715030104</v>
      </c>
      <c r="DB205" s="5">
        <v>-0.10435927874389</v>
      </c>
      <c r="DC205" s="5">
        <v>0.16892106052707301</v>
      </c>
      <c r="DD205" s="5">
        <v>-0.351815448309028</v>
      </c>
      <c r="DE205" s="5">
        <v>0.44169837860224698</v>
      </c>
      <c r="DF205" s="5">
        <v>-0.175405877548823</v>
      </c>
      <c r="DG205" s="5">
        <v>0.30366404348472598</v>
      </c>
      <c r="DH205" s="5">
        <v>-0.139992673624491</v>
      </c>
      <c r="DI205" s="5">
        <v>0.30731208540913502</v>
      </c>
      <c r="DJ205" s="5">
        <v>-0.120266432390888</v>
      </c>
      <c r="DK205" s="5">
        <v>0.136173456278807</v>
      </c>
      <c r="DL205" s="5">
        <v>-0.36451235941765198</v>
      </c>
      <c r="DM205" s="5">
        <v>0.51948727521859706</v>
      </c>
      <c r="DN205" s="5">
        <v>-8.9433618447233604E-2</v>
      </c>
      <c r="DO205" s="5">
        <v>7.9304403927594594E-2</v>
      </c>
      <c r="DP205" s="5">
        <v>0.172768647620545</v>
      </c>
      <c r="DQ205" s="5">
        <v>-0.214919788549081</v>
      </c>
      <c r="DR205" s="5">
        <v>-0.139756760750262</v>
      </c>
      <c r="DS205" s="5">
        <v>0.21586669069577399</v>
      </c>
      <c r="DT205" s="5">
        <v>-0.102129021903984</v>
      </c>
      <c r="DU205" s="5">
        <v>0.13317314648609499</v>
      </c>
      <c r="DV205" s="5">
        <v>-0.61922845364725698</v>
      </c>
      <c r="DW205" s="5">
        <v>0.794261788266312</v>
      </c>
      <c r="DX205" s="5">
        <v>-0.101585041423442</v>
      </c>
      <c r="DY205" s="5">
        <v>9.9523873023619897E-2</v>
      </c>
      <c r="DZ205" s="5">
        <v>-0.101391585030237</v>
      </c>
      <c r="EA205" s="5">
        <v>0.16373158387053299</v>
      </c>
      <c r="EB205" s="5">
        <v>-0.59467674692530004</v>
      </c>
      <c r="EC205" s="5">
        <v>0.73157792505045705</v>
      </c>
      <c r="ED205" s="5">
        <v>-0.60213935682363695</v>
      </c>
      <c r="EE205" s="5">
        <v>0.74181412167968996</v>
      </c>
      <c r="EF205" s="5">
        <v>-0.47201281511443099</v>
      </c>
      <c r="EG205" s="5">
        <v>0.54526063409940695</v>
      </c>
      <c r="EH205" s="5">
        <v>-0.40366873665464198</v>
      </c>
      <c r="EI205" s="5">
        <v>0.54583221568379703</v>
      </c>
      <c r="EJ205" s="5">
        <v>-0.44756864274097002</v>
      </c>
      <c r="EK205" s="5">
        <v>0.60614276672407696</v>
      </c>
      <c r="EL205" s="5">
        <v>-0.491250985940826</v>
      </c>
      <c r="EM205" s="5">
        <v>0.68503934892612295</v>
      </c>
      <c r="EN205" s="5">
        <v>8.0406066484368502E-2</v>
      </c>
      <c r="EO205" s="5">
        <v>-4.0068191373278002E-2</v>
      </c>
      <c r="EP205" s="5">
        <v>-0.49113095980638599</v>
      </c>
      <c r="EQ205" s="5">
        <v>0.61011112496874997</v>
      </c>
      <c r="ER205" s="5">
        <v>-0.19552458903858899</v>
      </c>
      <c r="ES205" s="5">
        <v>0.375127483595735</v>
      </c>
      <c r="ET205" s="5">
        <v>-0.237130708610964</v>
      </c>
      <c r="EU205" s="5">
        <v>0.50106008424209503</v>
      </c>
      <c r="EV205" s="5">
        <v>-0.25350647863335002</v>
      </c>
      <c r="EW205" s="5">
        <v>0.54875219637041595</v>
      </c>
      <c r="EX205" s="5">
        <v>0.123944650413365</v>
      </c>
      <c r="EY205" s="5">
        <v>7.3949170411447093E-2</v>
      </c>
      <c r="EZ205" s="5">
        <v>-0.18710401524586501</v>
      </c>
      <c r="FA205" s="5">
        <v>0.37758514978256202</v>
      </c>
      <c r="FB205" s="5">
        <v>-0.12875933118604199</v>
      </c>
      <c r="FC205" s="5">
        <v>0.18753945019386001</v>
      </c>
      <c r="FD205" s="5">
        <v>-0.475468561827392</v>
      </c>
      <c r="FE205" s="5">
        <v>0.60519597504159695</v>
      </c>
      <c r="FF205" s="5">
        <v>-0.109746592080486</v>
      </c>
      <c r="FG205" s="5">
        <v>0.15041513153632699</v>
      </c>
      <c r="FH205" s="5">
        <v>-6.33521363680562E-2</v>
      </c>
      <c r="FI205" s="5">
        <v>0.13013615914659499</v>
      </c>
      <c r="FJ205" s="5">
        <v>-0.221771006254631</v>
      </c>
      <c r="FK205" s="5">
        <v>0.34431242984508098</v>
      </c>
      <c r="FL205" s="5">
        <v>9.8267821956458806E-2</v>
      </c>
      <c r="FM205" s="5">
        <v>-0.13458701614327301</v>
      </c>
      <c r="FN205" s="5">
        <v>-7.4848216801059006E-2</v>
      </c>
      <c r="FO205" s="5">
        <v>0.11930003101683601</v>
      </c>
      <c r="FP205" s="5">
        <v>-5.2794468682750201E-2</v>
      </c>
      <c r="FQ205" s="5">
        <v>7.3593235897134998E-2</v>
      </c>
      <c r="FR205" s="5">
        <v>0.13471204274260001</v>
      </c>
      <c r="FS205" s="5">
        <v>-0.18799230942650899</v>
      </c>
      <c r="FT205" s="5">
        <v>-3.3322956558643601E-3</v>
      </c>
      <c r="FU205" s="5">
        <v>6.1726778577532303E-2</v>
      </c>
      <c r="FV205" s="5">
        <v>-6.1576326542121203E-2</v>
      </c>
      <c r="FW205" s="5">
        <v>0.125321354516374</v>
      </c>
      <c r="FX205" s="5">
        <v>-0.39343847689989098</v>
      </c>
      <c r="FY205" s="5">
        <v>0.52591793351613203</v>
      </c>
      <c r="FZ205" s="5">
        <v>-8.3748238813187895E-2</v>
      </c>
      <c r="GA205" s="5">
        <v>0.14262112283891001</v>
      </c>
      <c r="GB205" s="5">
        <v>-7.8789382139242095E-2</v>
      </c>
      <c r="GC205" s="5">
        <v>0.130398705345869</v>
      </c>
      <c r="GD205" s="5">
        <v>3.0395291642788501E-2</v>
      </c>
      <c r="GE205" s="5">
        <v>-4.0428570956075098E-2</v>
      </c>
      <c r="GF205" s="5">
        <v>-0.235637022110112</v>
      </c>
      <c r="GG205" s="5">
        <v>0.44845785203084998</v>
      </c>
      <c r="GH205" s="5">
        <v>0.28142713418086801</v>
      </c>
      <c r="GI205" s="5">
        <v>-0.41088252012262999</v>
      </c>
      <c r="GJ205" s="5">
        <v>-0.173080738049285</v>
      </c>
      <c r="GK205" s="5">
        <v>0.429992933983738</v>
      </c>
      <c r="GL205" s="5">
        <v>-0.51446799942670995</v>
      </c>
      <c r="GM205" s="5">
        <v>0.56933449799928704</v>
      </c>
      <c r="GN205" s="5">
        <v>-9.0977885386573101E-2</v>
      </c>
      <c r="GO205" s="5">
        <v>0.18153566883310701</v>
      </c>
      <c r="GP205" s="5">
        <v>-0.117995764459966</v>
      </c>
      <c r="GQ205" s="5">
        <v>0.190639915112194</v>
      </c>
      <c r="GR205" s="5">
        <v>-0.23171357590421501</v>
      </c>
      <c r="GS205" s="5">
        <v>0.46020294042779097</v>
      </c>
      <c r="GT205" s="5">
        <v>6.4633991515862493E-2</v>
      </c>
      <c r="GU205" s="5">
        <v>-9.3989432969397796E-2</v>
      </c>
      <c r="GV205" s="5">
        <v>-0.79109904952634102</v>
      </c>
      <c r="GW205" s="5">
        <v>1</v>
      </c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</row>
    <row r="206" spans="1:389" x14ac:dyDescent="0.45">
      <c r="A206" s="4" t="str">
        <f ca="1">"LBY / beta1dist in "&amp;CELL("address",'damages-1990'!$J$104)</f>
        <v>LBY / beta1dist in '[BHM betas v3pd.xlsx]damages-1990'!$J$104</v>
      </c>
      <c r="B206" s="6">
        <v>0.27756272071967703</v>
      </c>
      <c r="C206" s="5">
        <v>9.8464980186740894E-2</v>
      </c>
      <c r="D206" s="5">
        <v>0.38120405996208201</v>
      </c>
      <c r="E206" s="5">
        <v>1.0585638296903E-2</v>
      </c>
      <c r="F206" s="5">
        <v>0.17503284747311401</v>
      </c>
      <c r="G206" s="5">
        <v>8.3556219270851995E-2</v>
      </c>
      <c r="H206" s="5">
        <v>-8.2544143760861902E-2</v>
      </c>
      <c r="I206" s="5">
        <v>6.7460719195358607E-2</v>
      </c>
      <c r="J206" s="5">
        <v>0.46859884861790202</v>
      </c>
      <c r="K206" s="5">
        <v>-0.124579794940304</v>
      </c>
      <c r="L206" s="5">
        <v>0.47548720463671201</v>
      </c>
      <c r="M206" s="5">
        <v>-0.16411356522146101</v>
      </c>
      <c r="N206" s="5">
        <v>-0.23685378712306501</v>
      </c>
      <c r="O206" s="5">
        <v>0.34921505182011597</v>
      </c>
      <c r="P206" s="5">
        <v>0.183967340931664</v>
      </c>
      <c r="Q206" s="5">
        <v>3.0739156045750601E-2</v>
      </c>
      <c r="R206" s="5">
        <v>0.50301960025064396</v>
      </c>
      <c r="S206" s="5">
        <v>-0.15568976754885699</v>
      </c>
      <c r="T206" s="5">
        <v>-0.14128591010213901</v>
      </c>
      <c r="U206" s="5">
        <v>0.17620320830344999</v>
      </c>
      <c r="V206" s="5">
        <v>0.22280292362392501</v>
      </c>
      <c r="W206" s="5">
        <v>0.19979818392053</v>
      </c>
      <c r="X206" s="5">
        <v>0.364158648790392</v>
      </c>
      <c r="Y206" s="5">
        <v>2.3186468912732901E-2</v>
      </c>
      <c r="Z206" s="5">
        <v>3.9385669322976602E-2</v>
      </c>
      <c r="AA206" s="5">
        <v>8.8705952161898499E-2</v>
      </c>
      <c r="AB206" s="5">
        <v>0.49718418403083903</v>
      </c>
      <c r="AC206" s="5">
        <v>-0.24606941354760201</v>
      </c>
      <c r="AD206" s="5">
        <v>0.47764966787368601</v>
      </c>
      <c r="AE206" s="5">
        <v>-0.17865499616766001</v>
      </c>
      <c r="AF206" s="5">
        <v>0.40670288214445699</v>
      </c>
      <c r="AG206" s="5">
        <v>-0.13086235743650401</v>
      </c>
      <c r="AH206" s="5">
        <v>7.3511290565801204E-2</v>
      </c>
      <c r="AI206" s="5">
        <v>0.160670174416703</v>
      </c>
      <c r="AJ206" s="5">
        <v>0.391645127187146</v>
      </c>
      <c r="AK206" s="5">
        <v>-8.6690528809634695E-2</v>
      </c>
      <c r="AL206" s="5">
        <v>0.18714006511607101</v>
      </c>
      <c r="AM206" s="5">
        <v>2.2744823998703801E-2</v>
      </c>
      <c r="AN206" s="5">
        <v>-9.6847575488787099E-2</v>
      </c>
      <c r="AO206" s="5">
        <v>0.268122903893034</v>
      </c>
      <c r="AP206" s="5">
        <v>-7.5073920638773897E-2</v>
      </c>
      <c r="AQ206" s="5">
        <v>0.103603774577427</v>
      </c>
      <c r="AR206" s="5">
        <v>0.28137030318957701</v>
      </c>
      <c r="AS206" s="5">
        <v>-3.2823560527166798E-2</v>
      </c>
      <c r="AT206" s="5">
        <v>0.21651594073504399</v>
      </c>
      <c r="AU206" s="5">
        <v>-7.0231109430698394E-2</v>
      </c>
      <c r="AV206" s="5">
        <v>0.58615587581216599</v>
      </c>
      <c r="AW206" s="5">
        <v>-0.33399195791618103</v>
      </c>
      <c r="AX206" s="5">
        <v>0.43573888573137598</v>
      </c>
      <c r="AY206" s="5">
        <v>-0.109128543926272</v>
      </c>
      <c r="AZ206" s="5">
        <v>0.24281121102165301</v>
      </c>
      <c r="BA206" s="5">
        <v>-7.0261859013649397E-2</v>
      </c>
      <c r="BB206" s="5">
        <v>0.363387749023798</v>
      </c>
      <c r="BC206" s="5">
        <v>2.1792285276383799E-2</v>
      </c>
      <c r="BD206" s="5">
        <v>0.151597517392973</v>
      </c>
      <c r="BE206" s="5">
        <v>0.19527312944403499</v>
      </c>
      <c r="BF206" s="5">
        <v>0.39351372426223102</v>
      </c>
      <c r="BG206" s="5">
        <v>-0.110573513527626</v>
      </c>
      <c r="BH206" s="5">
        <v>0.44094830044709499</v>
      </c>
      <c r="BI206" s="5">
        <v>-0.11346526057204501</v>
      </c>
      <c r="BJ206" s="5">
        <v>-0.23677811302919999</v>
      </c>
      <c r="BK206" s="5">
        <v>0.121483099692169</v>
      </c>
      <c r="BL206" s="5">
        <v>-0.13960130882333799</v>
      </c>
      <c r="BM206" s="5">
        <v>0.15750865813840101</v>
      </c>
      <c r="BN206" s="5">
        <v>1.50208137510303E-2</v>
      </c>
      <c r="BO206" s="5">
        <v>8.7447115707784503E-2</v>
      </c>
      <c r="BP206" s="5">
        <v>-0.15328777989209999</v>
      </c>
      <c r="BQ206" s="5">
        <v>0.31707473989504298</v>
      </c>
      <c r="BR206" s="5">
        <v>0.40641903381955902</v>
      </c>
      <c r="BS206" s="5">
        <v>-0.10296079228416399</v>
      </c>
      <c r="BT206" s="5">
        <v>0.55832740446264595</v>
      </c>
      <c r="BU206" s="5">
        <v>-0.24523503158933499</v>
      </c>
      <c r="BV206" s="5">
        <v>0.41546454214301398</v>
      </c>
      <c r="BW206" s="5">
        <v>-4.1900376942089097E-2</v>
      </c>
      <c r="BX206" s="5">
        <v>0.46086275624450201</v>
      </c>
      <c r="BY206" s="5">
        <v>-0.14961639822520101</v>
      </c>
      <c r="BZ206" s="5">
        <v>0.40540999018954599</v>
      </c>
      <c r="CA206" s="5">
        <v>-6.1060850418568E-2</v>
      </c>
      <c r="CB206" s="5">
        <v>0.20598584773547399</v>
      </c>
      <c r="CC206" s="5">
        <v>-2.76367013060843E-2</v>
      </c>
      <c r="CD206" s="5">
        <v>5.7954924773452403E-5</v>
      </c>
      <c r="CE206" s="5">
        <v>0.175556518384753</v>
      </c>
      <c r="CF206" s="5">
        <v>0.18627929484688199</v>
      </c>
      <c r="CG206" s="5">
        <v>5.2416205860567203E-3</v>
      </c>
      <c r="CH206" s="5">
        <v>0.16471648819614501</v>
      </c>
      <c r="CI206" s="5">
        <v>8.9691172592703296E-3</v>
      </c>
      <c r="CJ206" s="5">
        <v>0.43044086463511999</v>
      </c>
      <c r="CK206" s="5">
        <v>-0.193449772411037</v>
      </c>
      <c r="CL206" s="5">
        <v>-8.2359523968938794E-2</v>
      </c>
      <c r="CM206" s="5">
        <v>0.15832629509466301</v>
      </c>
      <c r="CN206" s="5">
        <v>-2.5211684024680998E-2</v>
      </c>
      <c r="CO206" s="5">
        <v>0.13147740701587399</v>
      </c>
      <c r="CP206" s="5">
        <v>0.15205017514754501</v>
      </c>
      <c r="CQ206" s="5">
        <v>5.9168320639953503E-2</v>
      </c>
      <c r="CR206" s="5">
        <v>0.16466317083642801</v>
      </c>
      <c r="CS206" s="5">
        <v>5.6850807060088403E-2</v>
      </c>
      <c r="CT206" s="5">
        <v>3.6247959518830801E-2</v>
      </c>
      <c r="CU206" s="5">
        <v>5.2683105444957298E-3</v>
      </c>
      <c r="CV206" s="5">
        <v>0.21578202608834299</v>
      </c>
      <c r="CW206" s="5">
        <v>1.5361600141383801E-3</v>
      </c>
      <c r="CX206" s="5">
        <v>0.74943796017530595</v>
      </c>
      <c r="CY206" s="5">
        <v>-0.46994787462702198</v>
      </c>
      <c r="CZ206" s="5">
        <v>0.33790061475733102</v>
      </c>
      <c r="DA206" s="5">
        <v>-3.6809226021794803E-2</v>
      </c>
      <c r="DB206" s="5">
        <v>0.80500168941424999</v>
      </c>
      <c r="DC206" s="5">
        <v>-0.54908725916044798</v>
      </c>
      <c r="DD206" s="5">
        <v>0.28027116666053098</v>
      </c>
      <c r="DE206" s="5">
        <v>4.3303000200557102E-3</v>
      </c>
      <c r="DF206" s="5">
        <v>0.176216580208436</v>
      </c>
      <c r="DG206" s="5">
        <v>0.122334665401927</v>
      </c>
      <c r="DH206" s="5">
        <v>0.19035794379532101</v>
      </c>
      <c r="DI206" s="5">
        <v>0.15473857988950901</v>
      </c>
      <c r="DJ206" s="5">
        <v>-1.13343684560409E-2</v>
      </c>
      <c r="DK206" s="5">
        <v>2.0355450972385902E-2</v>
      </c>
      <c r="DL206" s="5">
        <v>0.22772932388939901</v>
      </c>
      <c r="DM206" s="5">
        <v>9.9553986780902506E-2</v>
      </c>
      <c r="DN206" s="5">
        <v>-7.7618112053018898E-2</v>
      </c>
      <c r="DO206" s="5">
        <v>4.1089054887519502E-2</v>
      </c>
      <c r="DP206" s="5">
        <v>0.41364963360739498</v>
      </c>
      <c r="DQ206" s="5">
        <v>-0.16871430493638401</v>
      </c>
      <c r="DR206" s="5">
        <v>0.116000404278031</v>
      </c>
      <c r="DS206" s="5">
        <v>9.0282620744737294E-2</v>
      </c>
      <c r="DT206" s="5">
        <v>0.22934795858436399</v>
      </c>
      <c r="DU206" s="5">
        <v>-7.8193001644849894E-2</v>
      </c>
      <c r="DV206" s="5">
        <v>0.40110174534412302</v>
      </c>
      <c r="DW206" s="5">
        <v>-0.13300524090573901</v>
      </c>
      <c r="DX206" s="5">
        <v>7.3583307609882798E-2</v>
      </c>
      <c r="DY206" s="5">
        <v>-4.5729754363602E-2</v>
      </c>
      <c r="DZ206" s="5">
        <v>-0.116565980088285</v>
      </c>
      <c r="EA206" s="5">
        <v>0.22443321126792901</v>
      </c>
      <c r="EB206" s="5">
        <v>0.44017500799906201</v>
      </c>
      <c r="EC206" s="5">
        <v>-0.14613097135559999</v>
      </c>
      <c r="ED206" s="5">
        <v>0.52601419090651402</v>
      </c>
      <c r="EE206" s="5">
        <v>-0.18083428317640199</v>
      </c>
      <c r="EF206" s="5">
        <v>0.14215907741150599</v>
      </c>
      <c r="EG206" s="5">
        <v>6.6793929248248105E-2</v>
      </c>
      <c r="EH206" s="5">
        <v>0.31339729152436002</v>
      </c>
      <c r="EI206" s="5">
        <v>-1.9271829600176399E-2</v>
      </c>
      <c r="EJ206" s="5">
        <v>0.37445175604599401</v>
      </c>
      <c r="EK206" s="5">
        <v>-6.9405099468034706E-2</v>
      </c>
      <c r="EL206" s="5">
        <v>0.45083406218862199</v>
      </c>
      <c r="EM206" s="5">
        <v>-0.16912126324566901</v>
      </c>
      <c r="EN206" s="5">
        <v>0.49076558133792098</v>
      </c>
      <c r="EO206" s="5">
        <v>-0.249629367628003</v>
      </c>
      <c r="EP206" s="5">
        <v>0.25196270218620398</v>
      </c>
      <c r="EQ206" s="5">
        <v>-8.1710993929383802E-2</v>
      </c>
      <c r="ER206" s="5">
        <v>0.33244370178980198</v>
      </c>
      <c r="ES206" s="5">
        <v>-1.0285821086483E-2</v>
      </c>
      <c r="ET206" s="5">
        <v>0.22988299444910901</v>
      </c>
      <c r="EU206" s="5">
        <v>1.2628596836337901E-2</v>
      </c>
      <c r="EV206" s="5">
        <v>0.33791946221774399</v>
      </c>
      <c r="EW206" s="5">
        <v>-0.11731230130537799</v>
      </c>
      <c r="EX206" s="5">
        <v>0.211462818267622</v>
      </c>
      <c r="EY206" s="5">
        <v>-2.3157047851128501E-2</v>
      </c>
      <c r="EZ206" s="5">
        <v>0.298732683833077</v>
      </c>
      <c r="FA206" s="5">
        <v>-2.1538110539235902E-2</v>
      </c>
      <c r="FB206" s="5">
        <v>8.3705259103001903E-2</v>
      </c>
      <c r="FC206" s="5">
        <v>0.15933276161416399</v>
      </c>
      <c r="FD206" s="5">
        <v>0.16460898386065301</v>
      </c>
      <c r="FE206" s="5">
        <v>7.2001830571382E-2</v>
      </c>
      <c r="FF206" s="5">
        <v>2.77418584868282E-2</v>
      </c>
      <c r="FG206" s="5">
        <v>0.17644645412519899</v>
      </c>
      <c r="FH206" s="5">
        <v>0.56549609075426499</v>
      </c>
      <c r="FI206" s="5">
        <v>-0.37002748255065598</v>
      </c>
      <c r="FJ206" s="5">
        <v>0.545549942974772</v>
      </c>
      <c r="FK206" s="5">
        <v>-0.18130364513963501</v>
      </c>
      <c r="FL206" s="5">
        <v>7.7313090708118606E-2</v>
      </c>
      <c r="FM206" s="5">
        <v>-3.8258628822798402E-2</v>
      </c>
      <c r="FN206" s="5">
        <v>0.50208806726753796</v>
      </c>
      <c r="FO206" s="5">
        <v>-0.13531082487559601</v>
      </c>
      <c r="FP206" s="5">
        <v>0.58301130284023395</v>
      </c>
      <c r="FQ206" s="5">
        <v>-0.28736628811905301</v>
      </c>
      <c r="FR206" s="5">
        <v>-1.54654031726235E-2</v>
      </c>
      <c r="FS206" s="5">
        <v>-6.6566759804211395E-2</v>
      </c>
      <c r="FT206" s="5">
        <v>0.65883021016672705</v>
      </c>
      <c r="FU206" s="5">
        <v>-0.37011731255827501</v>
      </c>
      <c r="FV206" s="5">
        <v>0.24124163304528301</v>
      </c>
      <c r="FW206" s="5">
        <v>2.5184445286365501E-2</v>
      </c>
      <c r="FX206" s="5">
        <v>0.18592805741631899</v>
      </c>
      <c r="FY206" s="5">
        <v>3.9085293533344202E-2</v>
      </c>
      <c r="FZ206" s="5">
        <v>0.65264355773662597</v>
      </c>
      <c r="GA206" s="5">
        <v>-0.343307140466731</v>
      </c>
      <c r="GB206" s="5">
        <v>5.5801598836273801E-2</v>
      </c>
      <c r="GC206" s="5">
        <v>0.26772929846389298</v>
      </c>
      <c r="GD206" s="5">
        <v>-5.4367602406595397E-2</v>
      </c>
      <c r="GE206" s="5">
        <v>5.5645247874056003E-2</v>
      </c>
      <c r="GF206" s="5">
        <v>0.17571145782250999</v>
      </c>
      <c r="GG206" s="5">
        <v>0.17937518603201</v>
      </c>
      <c r="GH206" s="5">
        <v>-0.31227478587100999</v>
      </c>
      <c r="GI206" s="5">
        <v>0.22853033659583499</v>
      </c>
      <c r="GJ206" s="5">
        <v>0.39903372235260798</v>
      </c>
      <c r="GK206" s="5">
        <v>-0.23039009470761801</v>
      </c>
      <c r="GL206" s="5">
        <v>0.219817088002879</v>
      </c>
      <c r="GM206" s="5">
        <v>-3.34399676835481E-3</v>
      </c>
      <c r="GN206" s="5">
        <v>0.119940248592357</v>
      </c>
      <c r="GO206" s="5">
        <v>0.19607810422174399</v>
      </c>
      <c r="GP206" s="5">
        <v>0.48645406634846899</v>
      </c>
      <c r="GQ206" s="5">
        <v>-0.20130135019669401</v>
      </c>
      <c r="GR206" s="5">
        <v>0.49016562287495502</v>
      </c>
      <c r="GS206" s="5">
        <v>-0.33198818031741201</v>
      </c>
      <c r="GT206" s="5">
        <v>0.475634541624674</v>
      </c>
      <c r="GU206" s="5">
        <v>-0.16642328269138501</v>
      </c>
      <c r="GV206" s="5">
        <v>0.37325467924792499</v>
      </c>
      <c r="GW206" s="5">
        <v>-0.10244305385315899</v>
      </c>
      <c r="GX206" s="5">
        <v>1</v>
      </c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</row>
    <row r="207" spans="1:389" x14ac:dyDescent="0.45">
      <c r="A207" s="4" t="str">
        <f ca="1">"LBY / beta2dist in "&amp;CELL("address",'damages-1990'!$K$104)</f>
        <v>LBY / beta2dist in '[BHM betas v3pd.xlsx]damages-1990'!$K$104</v>
      </c>
      <c r="B207" s="6">
        <v>-0.115298789258459</v>
      </c>
      <c r="C207" s="5">
        <v>0.13715074772216199</v>
      </c>
      <c r="D207" s="5">
        <v>-7.1230788284991894E-2</v>
      </c>
      <c r="E207" s="5">
        <v>9.4508512975667605E-2</v>
      </c>
      <c r="F207" s="5">
        <v>-5.0061905243513997E-2</v>
      </c>
      <c r="G207" s="5">
        <v>6.4149580375602297E-2</v>
      </c>
      <c r="H207" s="5">
        <v>-9.0009557125780099E-2</v>
      </c>
      <c r="I207" s="5">
        <v>6.0644730553950997E-2</v>
      </c>
      <c r="J207" s="5">
        <v>-0.13493963753077801</v>
      </c>
      <c r="K207" s="5">
        <v>0.201712454521737</v>
      </c>
      <c r="L207" s="5">
        <v>-0.20893917814976501</v>
      </c>
      <c r="M207" s="5">
        <v>0.260405925527671</v>
      </c>
      <c r="N207" s="5">
        <v>0.26704543636288502</v>
      </c>
      <c r="O207" s="5">
        <v>-0.40522189571594203</v>
      </c>
      <c r="P207" s="5">
        <v>-3.31122467879712E-2</v>
      </c>
      <c r="Q207" s="5">
        <v>5.8353052715430301E-2</v>
      </c>
      <c r="R207" s="5">
        <v>-0.16641684951171101</v>
      </c>
      <c r="S207" s="5">
        <v>0.22714087531195101</v>
      </c>
      <c r="T207" s="5">
        <v>2.8471397759185401E-2</v>
      </c>
      <c r="U207" s="5">
        <v>-6.2985214289675295E-2</v>
      </c>
      <c r="V207" s="5">
        <v>-1.94391988146011E-2</v>
      </c>
      <c r="W207" s="5">
        <v>-5.0193298899513801E-2</v>
      </c>
      <c r="X207" s="5">
        <v>-5.3297602798898398E-2</v>
      </c>
      <c r="Y207" s="5">
        <v>6.6116910188406194E-2</v>
      </c>
      <c r="Z207" s="5">
        <v>-7.8969256723245104E-2</v>
      </c>
      <c r="AA207" s="5">
        <v>7.5793689006885004E-2</v>
      </c>
      <c r="AB207" s="5">
        <v>-0.31414806863016398</v>
      </c>
      <c r="AC207" s="5">
        <v>0.38600640967551297</v>
      </c>
      <c r="AD207" s="5">
        <v>-0.33634836028263398</v>
      </c>
      <c r="AE207" s="5">
        <v>0.368528327949595</v>
      </c>
      <c r="AF207" s="5">
        <v>-0.111339187582998</v>
      </c>
      <c r="AG207" s="5">
        <v>0.17127477635055999</v>
      </c>
      <c r="AH207" s="5">
        <v>-1.0056002130188701E-3</v>
      </c>
      <c r="AI207" s="5">
        <v>-1.2652161633951199E-2</v>
      </c>
      <c r="AJ207" s="5">
        <v>-9.9244280894784806E-2</v>
      </c>
      <c r="AK207" s="5">
        <v>0.20483657734787</v>
      </c>
      <c r="AL207" s="5">
        <v>0.15907071195657799</v>
      </c>
      <c r="AM207" s="5">
        <v>-0.15570703986352</v>
      </c>
      <c r="AN207" s="5">
        <v>0.100661339303232</v>
      </c>
      <c r="AO207" s="5">
        <v>-0.15184157581765301</v>
      </c>
      <c r="AP207" s="5">
        <v>-0.152241927145741</v>
      </c>
      <c r="AQ207" s="5">
        <v>0.148488883960254</v>
      </c>
      <c r="AR207" s="5">
        <v>6.8580644189065898E-2</v>
      </c>
      <c r="AS207" s="5">
        <v>5.9792292948226801E-3</v>
      </c>
      <c r="AT207" s="5">
        <v>7.0149581343369294E-2</v>
      </c>
      <c r="AU207" s="5">
        <v>4.5933798619596803E-4</v>
      </c>
      <c r="AV207" s="5">
        <v>-0.23001068066588401</v>
      </c>
      <c r="AW207" s="5">
        <v>0.41733351707897998</v>
      </c>
      <c r="AX207" s="5">
        <v>-5.3924312424359598E-2</v>
      </c>
      <c r="AY207" s="5">
        <v>0.13771981944744899</v>
      </c>
      <c r="AZ207" s="5">
        <v>-7.2319042816187007E-2</v>
      </c>
      <c r="BA207" s="5">
        <v>0.13962544555987899</v>
      </c>
      <c r="BB207" s="5">
        <v>-1.62224348008933E-2</v>
      </c>
      <c r="BC207" s="5">
        <v>3.4569154890892198E-2</v>
      </c>
      <c r="BD207" s="5">
        <v>-0.113896364275821</v>
      </c>
      <c r="BE207" s="5">
        <v>0.131632406601356</v>
      </c>
      <c r="BF207" s="5">
        <v>-0.15267516318847499</v>
      </c>
      <c r="BG207" s="5">
        <v>0.21373235493408399</v>
      </c>
      <c r="BH207" s="5">
        <v>-0.105820964650176</v>
      </c>
      <c r="BI207" s="5">
        <v>0.176935316948197</v>
      </c>
      <c r="BJ207" s="5">
        <v>-4.6105901763119003E-2</v>
      </c>
      <c r="BK207" s="5">
        <v>-3.0648151822825102E-2</v>
      </c>
      <c r="BL207" s="5">
        <v>1.0996629183183001E-2</v>
      </c>
      <c r="BM207" s="5">
        <v>-6.07018979009444E-2</v>
      </c>
      <c r="BN207" s="5">
        <v>-5.8362135661734503E-2</v>
      </c>
      <c r="BO207" s="5">
        <v>3.6367947101058097E-2</v>
      </c>
      <c r="BP207" s="5">
        <v>8.4523492509495403E-3</v>
      </c>
      <c r="BQ207" s="5">
        <v>-8.47518324632512E-2</v>
      </c>
      <c r="BR207" s="5">
        <v>-0.253607970439091</v>
      </c>
      <c r="BS207" s="5">
        <v>0.26626711908893602</v>
      </c>
      <c r="BT207" s="5">
        <v>-0.229935650195492</v>
      </c>
      <c r="BU207" s="5">
        <v>0.34034319716080103</v>
      </c>
      <c r="BV207" s="5">
        <v>-0.10323981866840801</v>
      </c>
      <c r="BW207" s="5">
        <v>0.13691626160751899</v>
      </c>
      <c r="BX207" s="5">
        <v>-0.19142495697553399</v>
      </c>
      <c r="BY207" s="5">
        <v>0.24700610701369599</v>
      </c>
      <c r="BZ207" s="5">
        <v>-9.4773202409290894E-2</v>
      </c>
      <c r="CA207" s="5">
        <v>0.113213593672028</v>
      </c>
      <c r="CB207" s="5">
        <v>4.2278626844943198E-2</v>
      </c>
      <c r="CC207" s="5">
        <v>5.8286784167028899E-2</v>
      </c>
      <c r="CD207" s="5">
        <v>0.20515045192032</v>
      </c>
      <c r="CE207" s="5">
        <v>-0.141235765934039</v>
      </c>
      <c r="CF207" s="5">
        <v>6.9341911815876997E-2</v>
      </c>
      <c r="CG207" s="5">
        <v>9.1405601174907505E-3</v>
      </c>
      <c r="CH207" s="5">
        <v>0.18386044772636601</v>
      </c>
      <c r="CI207" s="5">
        <v>-0.15640621377243699</v>
      </c>
      <c r="CJ207" s="5">
        <v>-0.20329818993253099</v>
      </c>
      <c r="CK207" s="5">
        <v>0.26433241664191998</v>
      </c>
      <c r="CL207" s="5">
        <v>2.1837329938216E-3</v>
      </c>
      <c r="CM207" s="5">
        <v>-2.8418052428058799E-2</v>
      </c>
      <c r="CN207" s="5">
        <v>-4.5405937721151E-2</v>
      </c>
      <c r="CO207" s="5">
        <v>2.39453057268945E-2</v>
      </c>
      <c r="CP207" s="5">
        <v>5.9419116008807898E-3</v>
      </c>
      <c r="CQ207" s="5">
        <v>4.7069885627324101E-2</v>
      </c>
      <c r="CR207" s="5">
        <v>2.6562819512791699E-2</v>
      </c>
      <c r="CS207" s="5">
        <v>8.3814707878003304E-3</v>
      </c>
      <c r="CT207" s="5">
        <v>-0.166128117597554</v>
      </c>
      <c r="CU207" s="5">
        <v>0.16427273338680301</v>
      </c>
      <c r="CV207" s="5">
        <v>-7.3169319401945904E-2</v>
      </c>
      <c r="CW207" s="5">
        <v>0.13347702318476901</v>
      </c>
      <c r="CX207" s="5">
        <v>-0.54930011201985596</v>
      </c>
      <c r="CY207" s="5">
        <v>0.69649294363453895</v>
      </c>
      <c r="CZ207" s="5">
        <v>-3.2845585493834997E-2</v>
      </c>
      <c r="DA207" s="5">
        <v>7.1305146939276601E-2</v>
      </c>
      <c r="DB207" s="5">
        <v>-0.53588524319034603</v>
      </c>
      <c r="DC207" s="5">
        <v>0.75249541257916197</v>
      </c>
      <c r="DD207" s="5">
        <v>-0.120505961511157</v>
      </c>
      <c r="DE207" s="5">
        <v>0.162651171684489</v>
      </c>
      <c r="DF207" s="5">
        <v>0.164736847103755</v>
      </c>
      <c r="DG207" s="5">
        <v>-0.127067662422545</v>
      </c>
      <c r="DH207" s="5">
        <v>1.2515288404216099E-2</v>
      </c>
      <c r="DI207" s="5">
        <v>-1.34227519159957E-2</v>
      </c>
      <c r="DJ207" s="5">
        <v>-0.25384037846859703</v>
      </c>
      <c r="DK207" s="5">
        <v>0.241609631691969</v>
      </c>
      <c r="DL207" s="5">
        <v>9.9358044111945806E-2</v>
      </c>
      <c r="DM207" s="5">
        <v>-2.5760096298903301E-2</v>
      </c>
      <c r="DN207" s="5">
        <v>-0.224778945421784</v>
      </c>
      <c r="DO207" s="5">
        <v>0.195277102300279</v>
      </c>
      <c r="DP207" s="5">
        <v>-0.166415757729937</v>
      </c>
      <c r="DQ207" s="5">
        <v>0.21011512741024099</v>
      </c>
      <c r="DR207" s="5">
        <v>-7.6039230280970996E-2</v>
      </c>
      <c r="DS207" s="5">
        <v>8.8283511036245002E-2</v>
      </c>
      <c r="DT207" s="5">
        <v>-8.4970812723984102E-2</v>
      </c>
      <c r="DU207" s="5">
        <v>0.123011730394404</v>
      </c>
      <c r="DV207" s="5">
        <v>-0.22283325031655299</v>
      </c>
      <c r="DW207" s="5">
        <v>0.265240078614914</v>
      </c>
      <c r="DX207" s="5">
        <v>-0.24989184021581301</v>
      </c>
      <c r="DY207" s="5">
        <v>0.29673250684987201</v>
      </c>
      <c r="DZ207" s="5">
        <v>0.111879161386208</v>
      </c>
      <c r="EA207" s="5">
        <v>-0.200232711680079</v>
      </c>
      <c r="EB207" s="5">
        <v>-0.24451782861469801</v>
      </c>
      <c r="EC207" s="5">
        <v>0.29360099985041399</v>
      </c>
      <c r="ED207" s="5">
        <v>-0.30264066927380601</v>
      </c>
      <c r="EE207" s="5">
        <v>0.32005280007113401</v>
      </c>
      <c r="EF207" s="5">
        <v>1.83175328681329E-2</v>
      </c>
      <c r="EG207" s="5">
        <v>1.08093041508648E-2</v>
      </c>
      <c r="EH207" s="5">
        <v>-1.43963231029839E-2</v>
      </c>
      <c r="EI207" s="5">
        <v>0.12636449791245599</v>
      </c>
      <c r="EJ207" s="5">
        <v>-0.11455369348317</v>
      </c>
      <c r="EK207" s="5">
        <v>0.21069706613966399</v>
      </c>
      <c r="EL207" s="5">
        <v>-9.6846435826350802E-2</v>
      </c>
      <c r="EM207" s="5">
        <v>0.17369164747966101</v>
      </c>
      <c r="EN207" s="5">
        <v>-0.28236304462044198</v>
      </c>
      <c r="EO207" s="5">
        <v>0.34273732969896098</v>
      </c>
      <c r="EP207" s="5">
        <v>-8.1632479615794895E-2</v>
      </c>
      <c r="EQ207" s="5">
        <v>0.16285001916497599</v>
      </c>
      <c r="ER207" s="5">
        <v>1.27234096318298E-2</v>
      </c>
      <c r="ES207" s="5">
        <v>2.5194812321420901E-2</v>
      </c>
      <c r="ET207" s="5">
        <v>0.150906049496213</v>
      </c>
      <c r="EU207" s="5">
        <v>-5.8572805269963203E-2</v>
      </c>
      <c r="EV207" s="5">
        <v>-8.4526373835221002E-3</v>
      </c>
      <c r="EW207" s="5">
        <v>0.146077790949313</v>
      </c>
      <c r="EX207" s="5">
        <v>0.156263304750381</v>
      </c>
      <c r="EY207" s="5">
        <v>-2.1969030328405401E-2</v>
      </c>
      <c r="EZ207" s="5">
        <v>5.1371323133818803E-3</v>
      </c>
      <c r="FA207" s="5">
        <v>9.4738023564902296E-2</v>
      </c>
      <c r="FB207" s="5">
        <v>1.13624132642087E-2</v>
      </c>
      <c r="FC207" s="5">
        <v>-3.15123136929535E-2</v>
      </c>
      <c r="FD207" s="5">
        <v>6.4616927958313697E-2</v>
      </c>
      <c r="FE207" s="5">
        <v>-7.73637413535074E-3</v>
      </c>
      <c r="FF207" s="5">
        <v>1.8391754726375099E-2</v>
      </c>
      <c r="FG207" s="5">
        <v>-3.9662019535952997E-2</v>
      </c>
      <c r="FH207" s="5">
        <v>-0.14937908140791401</v>
      </c>
      <c r="FI207" s="5">
        <v>0.26917045909937998</v>
      </c>
      <c r="FJ207" s="5">
        <v>-0.27503184733307201</v>
      </c>
      <c r="FK207" s="5">
        <v>0.33908538687621997</v>
      </c>
      <c r="FL207" s="5">
        <v>-0.21027422351827799</v>
      </c>
      <c r="FM207" s="5">
        <v>0.25061152783944401</v>
      </c>
      <c r="FN207" s="5">
        <v>-0.27293071712818101</v>
      </c>
      <c r="FO207" s="5">
        <v>0.32081493003612399</v>
      </c>
      <c r="FP207" s="5">
        <v>-0.307382602903921</v>
      </c>
      <c r="FQ207" s="5">
        <v>0.42538058780298599</v>
      </c>
      <c r="FR207" s="5">
        <v>-7.0958140978687606E-2</v>
      </c>
      <c r="FS207" s="5">
        <v>7.8044979379040494E-2</v>
      </c>
      <c r="FT207" s="5">
        <v>-0.38758216013932001</v>
      </c>
      <c r="FU207" s="5">
        <v>0.54236879020212103</v>
      </c>
      <c r="FV207" s="5">
        <v>-6.6912192666441397E-2</v>
      </c>
      <c r="FW207" s="5">
        <v>0.104461926316466</v>
      </c>
      <c r="FX207" s="5">
        <v>0.10711501970480899</v>
      </c>
      <c r="FY207" s="5">
        <v>-4.5282106499862702E-2</v>
      </c>
      <c r="FZ207" s="5">
        <v>-0.35923035509365597</v>
      </c>
      <c r="GA207" s="5">
        <v>0.51929020952187399</v>
      </c>
      <c r="GB207" s="5">
        <v>1.78914465837321E-3</v>
      </c>
      <c r="GC207" s="5">
        <v>-5.0355454599393501E-2</v>
      </c>
      <c r="GD207" s="5">
        <v>-0.13805557513560701</v>
      </c>
      <c r="GE207" s="5">
        <v>0.16866502455768201</v>
      </c>
      <c r="GF207" s="5">
        <v>0.23034526798938401</v>
      </c>
      <c r="GG207" s="5">
        <v>-0.182647815723054</v>
      </c>
      <c r="GH207" s="5">
        <v>0.20110882211424499</v>
      </c>
      <c r="GI207" s="5">
        <v>-0.25414994922783202</v>
      </c>
      <c r="GJ207" s="5">
        <v>-5.2687828083471701E-2</v>
      </c>
      <c r="GK207" s="5">
        <v>0.210627116416434</v>
      </c>
      <c r="GL207" s="5">
        <v>-0.110302385199075</v>
      </c>
      <c r="GM207" s="5">
        <v>0.127238404100255</v>
      </c>
      <c r="GN207" s="5">
        <v>-3.3802647495882902E-2</v>
      </c>
      <c r="GO207" s="5">
        <v>3.4918880834299101E-2</v>
      </c>
      <c r="GP207" s="5">
        <v>-0.20555121222687101</v>
      </c>
      <c r="GQ207" s="5">
        <v>0.34412475490585798</v>
      </c>
      <c r="GR207" s="5">
        <v>-0.18500654606578301</v>
      </c>
      <c r="GS207" s="5">
        <v>0.37423427846892299</v>
      </c>
      <c r="GT207" s="5">
        <v>-0.235799382988504</v>
      </c>
      <c r="GU207" s="5">
        <v>0.29444159885593002</v>
      </c>
      <c r="GV207" s="5">
        <v>-0.16057279455910201</v>
      </c>
      <c r="GW207" s="5">
        <v>0.18844477598904699</v>
      </c>
      <c r="GX207" s="5">
        <v>-0.79757734012340797</v>
      </c>
      <c r="GY207" s="5">
        <v>1</v>
      </c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</row>
    <row r="208" spans="1:389" x14ac:dyDescent="0.45">
      <c r="A208" s="4" t="str">
        <f ca="1">"LIE / beta1dist in "&amp;CELL("address",'damages-1990'!$J$105)</f>
        <v>LIE / beta1dist in '[BHM betas v3pd.xlsx]damages-1990'!$J$105</v>
      </c>
      <c r="B208" s="6">
        <v>0.26294468779317698</v>
      </c>
      <c r="C208" s="5">
        <v>-0.224384501665506</v>
      </c>
      <c r="D208" s="5">
        <v>0.15524317803429899</v>
      </c>
      <c r="E208" s="5">
        <v>-0.31257882252214197</v>
      </c>
      <c r="F208" s="5">
        <v>0.45031032840674001</v>
      </c>
      <c r="G208" s="5">
        <v>-0.42862472097443799</v>
      </c>
      <c r="H208" s="5">
        <v>0.71602188428040603</v>
      </c>
      <c r="I208" s="5">
        <v>-0.59047802057054899</v>
      </c>
      <c r="J208" s="5">
        <v>-0.14044121579764501</v>
      </c>
      <c r="K208" s="5">
        <v>-4.38132966444231E-2</v>
      </c>
      <c r="L208" s="5">
        <v>7.6976847429369305E-2</v>
      </c>
      <c r="M208" s="5">
        <v>3.3623274686391002E-3</v>
      </c>
      <c r="N208" s="5">
        <v>0.50627210833279301</v>
      </c>
      <c r="O208" s="5">
        <v>-0.36844281879670399</v>
      </c>
      <c r="P208" s="5">
        <v>0.14871050690275101</v>
      </c>
      <c r="Q208" s="5">
        <v>-0.27359499146539201</v>
      </c>
      <c r="R208" s="5">
        <v>-4.9422646998458698E-2</v>
      </c>
      <c r="S208" s="5">
        <v>-0.123982226595671</v>
      </c>
      <c r="T208" s="5">
        <v>0.88449965831624899</v>
      </c>
      <c r="U208" s="5">
        <v>-0.79956180566244495</v>
      </c>
      <c r="V208" s="5">
        <v>0.29915912577071802</v>
      </c>
      <c r="W208" s="5">
        <v>-0.30092764264599198</v>
      </c>
      <c r="X208" s="5">
        <v>0.15901481617486199</v>
      </c>
      <c r="Y208" s="5">
        <v>-0.27917851870343702</v>
      </c>
      <c r="Z208" s="5">
        <v>0.73881316100661698</v>
      </c>
      <c r="AA208" s="5">
        <v>-0.69042427312481902</v>
      </c>
      <c r="AB208" s="5">
        <v>0.13050885841797</v>
      </c>
      <c r="AC208" s="5">
        <v>-0.22148774982796199</v>
      </c>
      <c r="AD208" s="5">
        <v>0.15657671524390701</v>
      </c>
      <c r="AE208" s="5">
        <v>-0.23414827862718399</v>
      </c>
      <c r="AF208" s="5">
        <v>-0.170380570116724</v>
      </c>
      <c r="AG208" s="5">
        <v>-9.6056723679832003E-3</v>
      </c>
      <c r="AH208" s="5">
        <v>0.54489671118281702</v>
      </c>
      <c r="AI208" s="5">
        <v>-0.52653614117591596</v>
      </c>
      <c r="AJ208" s="5">
        <v>-0.21264231265644001</v>
      </c>
      <c r="AK208" s="5">
        <v>9.0158658647590002E-3</v>
      </c>
      <c r="AL208" s="5">
        <v>-0.268758658261466</v>
      </c>
      <c r="AM208" s="5">
        <v>0.20580002475565601</v>
      </c>
      <c r="AN208" s="5">
        <v>0.75038487795616304</v>
      </c>
      <c r="AO208" s="5">
        <v>-0.71414803942342298</v>
      </c>
      <c r="AP208" s="5">
        <v>0.61336828523889797</v>
      </c>
      <c r="AQ208" s="5">
        <v>-0.48617041396053201</v>
      </c>
      <c r="AR208" s="5">
        <v>-0.12702722526807</v>
      </c>
      <c r="AS208" s="5">
        <v>-1.2965652457727401E-2</v>
      </c>
      <c r="AT208" s="5">
        <v>-0.37611704117049199</v>
      </c>
      <c r="AU208" s="5">
        <v>0.30958835094394399</v>
      </c>
      <c r="AV208" s="5">
        <v>-0.142175836336739</v>
      </c>
      <c r="AW208" s="5">
        <v>-5.2833364983947799E-2</v>
      </c>
      <c r="AX208" s="5">
        <v>-0.10411764889758</v>
      </c>
      <c r="AY208" s="5">
        <v>-0.16541031694193301</v>
      </c>
      <c r="AZ208" s="5">
        <v>0.201297494151293</v>
      </c>
      <c r="BA208" s="5">
        <v>-0.27470663032828502</v>
      </c>
      <c r="BB208" s="5">
        <v>-4.6132656734127003E-2</v>
      </c>
      <c r="BC208" s="5">
        <v>-0.15360206803745299</v>
      </c>
      <c r="BD208" s="5">
        <v>0.40988543464856803</v>
      </c>
      <c r="BE208" s="5">
        <v>-0.344316635514203</v>
      </c>
      <c r="BF208" s="5">
        <v>0.16011748804895501</v>
      </c>
      <c r="BG208" s="5">
        <v>-0.34084475258653302</v>
      </c>
      <c r="BH208" s="5">
        <v>6.7188451625182E-2</v>
      </c>
      <c r="BI208" s="5">
        <v>-0.20374463250618999</v>
      </c>
      <c r="BJ208" s="5">
        <v>0.51185754865422906</v>
      </c>
      <c r="BK208" s="5">
        <v>-0.23073743259680901</v>
      </c>
      <c r="BL208" s="5">
        <v>0.91159888867822303</v>
      </c>
      <c r="BM208" s="5">
        <v>-0.81859804299209205</v>
      </c>
      <c r="BN208" s="5">
        <v>0.36048418320762299</v>
      </c>
      <c r="BO208" s="5">
        <v>-0.145789481947461</v>
      </c>
      <c r="BP208" s="5">
        <v>0.50474458960686297</v>
      </c>
      <c r="BQ208" s="5">
        <v>-0.32617485460752699</v>
      </c>
      <c r="BR208" s="5">
        <v>0.18259326672795401</v>
      </c>
      <c r="BS208" s="5">
        <v>-0.247332865424435</v>
      </c>
      <c r="BT208" s="5">
        <v>3.13065437373517E-2</v>
      </c>
      <c r="BU208" s="5">
        <v>-0.18212104996167799</v>
      </c>
      <c r="BV208" s="5">
        <v>4.6995893045088701E-2</v>
      </c>
      <c r="BW208" s="5">
        <v>-0.20326448521919499</v>
      </c>
      <c r="BX208" s="5">
        <v>2.52613262298233E-2</v>
      </c>
      <c r="BY208" s="5">
        <v>-0.158454843852458</v>
      </c>
      <c r="BZ208" s="5">
        <v>-6.7148277419460306E-2</v>
      </c>
      <c r="CA208" s="5">
        <v>-0.13021722228302199</v>
      </c>
      <c r="CB208" s="5">
        <v>-8.1260024467218694E-2</v>
      </c>
      <c r="CC208" s="5">
        <v>-6.9038407196792398E-2</v>
      </c>
      <c r="CD208" s="5">
        <v>1.14743207143375E-2</v>
      </c>
      <c r="CE208" s="5">
        <v>-0.11888368257654899</v>
      </c>
      <c r="CF208" s="5">
        <v>5.8925312131490803E-3</v>
      </c>
      <c r="CG208" s="5">
        <v>-0.125437407265374</v>
      </c>
      <c r="CH208" s="5">
        <v>-0.15768068147672201</v>
      </c>
      <c r="CI208" s="5">
        <v>9.5944051824864998E-2</v>
      </c>
      <c r="CJ208" s="5">
        <v>-0.274630523084615</v>
      </c>
      <c r="CK208" s="5">
        <v>0.254746995683928</v>
      </c>
      <c r="CL208" s="5">
        <v>0.84364541548781202</v>
      </c>
      <c r="CM208" s="5">
        <v>-0.77414633069712901</v>
      </c>
      <c r="CN208" s="5">
        <v>0.80424264532148104</v>
      </c>
      <c r="CO208" s="5">
        <v>-0.75133748239292597</v>
      </c>
      <c r="CP208" s="5">
        <v>1.0631456612470299E-2</v>
      </c>
      <c r="CQ208" s="5">
        <v>-9.5363611628282899E-2</v>
      </c>
      <c r="CR208" s="5">
        <v>0.199146862460329</v>
      </c>
      <c r="CS208" s="5">
        <v>-0.283084700358187</v>
      </c>
      <c r="CT208" s="5">
        <v>0.699530228388204</v>
      </c>
      <c r="CU208" s="5">
        <v>-0.60062545248201005</v>
      </c>
      <c r="CV208" s="5">
        <v>0.21139434925772099</v>
      </c>
      <c r="CW208" s="5">
        <v>-0.32454645810147398</v>
      </c>
      <c r="CX208" s="5">
        <v>-0.14580549589698999</v>
      </c>
      <c r="CY208" s="5">
        <v>2.9251971105839002E-3</v>
      </c>
      <c r="CZ208" s="5">
        <v>1.7231023670022199E-2</v>
      </c>
      <c r="DA208" s="5">
        <v>-0.21335426162394999</v>
      </c>
      <c r="DB208" s="5">
        <v>-0.22485739217019801</v>
      </c>
      <c r="DC208" s="5">
        <v>6.7988567361271596E-2</v>
      </c>
      <c r="DD208" s="5">
        <v>0.13518261615180899</v>
      </c>
      <c r="DE208" s="5">
        <v>-0.20975580786029799</v>
      </c>
      <c r="DF208" s="5">
        <v>-0.173275520655545</v>
      </c>
      <c r="DG208" s="5">
        <v>6.5692609589218298E-2</v>
      </c>
      <c r="DH208" s="5">
        <v>0.24491306213957501</v>
      </c>
      <c r="DI208" s="5">
        <v>-0.234813555968864</v>
      </c>
      <c r="DJ208" s="5">
        <v>0.52888574533329302</v>
      </c>
      <c r="DK208" s="5">
        <v>-0.40391568993850802</v>
      </c>
      <c r="DL208" s="5">
        <v>0.100104852522302</v>
      </c>
      <c r="DM208" s="5">
        <v>-0.171360863878771</v>
      </c>
      <c r="DN208" s="5">
        <v>0.50672546016891795</v>
      </c>
      <c r="DO208" s="5">
        <v>-0.36595500455437202</v>
      </c>
      <c r="DP208" s="5">
        <v>-0.13403767991003601</v>
      </c>
      <c r="DQ208" s="5">
        <v>7.3441957744641906E-2</v>
      </c>
      <c r="DR208" s="5">
        <v>0.636895325855935</v>
      </c>
      <c r="DS208" s="5">
        <v>-0.64665424828950002</v>
      </c>
      <c r="DT208" s="5">
        <v>-0.12101957519685599</v>
      </c>
      <c r="DU208" s="5">
        <v>6.2416778395409503E-2</v>
      </c>
      <c r="DV208" s="5">
        <v>0.13319758760261299</v>
      </c>
      <c r="DW208" s="5">
        <v>-0.246441380734152</v>
      </c>
      <c r="DX208" s="5">
        <v>0.61252092625591903</v>
      </c>
      <c r="DY208" s="5">
        <v>-0.45691206392121197</v>
      </c>
      <c r="DZ208" s="5">
        <v>0.54219994869351495</v>
      </c>
      <c r="EA208" s="5">
        <v>-0.44082500095081401</v>
      </c>
      <c r="EB208" s="5">
        <v>0.102898108070595</v>
      </c>
      <c r="EC208" s="5">
        <v>-0.200185508636429</v>
      </c>
      <c r="ED208" s="5">
        <v>0.12627399619298499</v>
      </c>
      <c r="EE208" s="5">
        <v>-0.23276680562697</v>
      </c>
      <c r="EF208" s="5">
        <v>0.19919765464587899</v>
      </c>
      <c r="EG208" s="5">
        <v>-0.29354046269232398</v>
      </c>
      <c r="EH208" s="5">
        <v>2.66451153432022E-2</v>
      </c>
      <c r="EI208" s="5">
        <v>-0.165734551648998</v>
      </c>
      <c r="EJ208" s="5">
        <v>4.13559995851117E-2</v>
      </c>
      <c r="EK208" s="5">
        <v>-0.195808057835543</v>
      </c>
      <c r="EL208" s="5">
        <v>-6.2291137135388197E-2</v>
      </c>
      <c r="EM208" s="5">
        <v>-3.0437980113643601E-2</v>
      </c>
      <c r="EN208" s="5">
        <v>-2.39247753810439E-2</v>
      </c>
      <c r="EO208" s="5">
        <v>7.8355625803514795E-2</v>
      </c>
      <c r="EP208" s="5">
        <v>0.27636419082650299</v>
      </c>
      <c r="EQ208" s="5">
        <v>-0.35974843918607102</v>
      </c>
      <c r="ER208" s="5">
        <v>-3.76152677686954E-2</v>
      </c>
      <c r="ES208" s="5">
        <v>-0.13436809724964899</v>
      </c>
      <c r="ET208" s="5">
        <v>-9.6106997571520098E-3</v>
      </c>
      <c r="EU208" s="5">
        <v>-0.18991890671631201</v>
      </c>
      <c r="EV208" s="5">
        <v>-7.4938635598782E-2</v>
      </c>
      <c r="EW208" s="5">
        <v>-0.146233845204612</v>
      </c>
      <c r="EX208" s="5">
        <v>-0.12649678607540801</v>
      </c>
      <c r="EY208" s="5">
        <v>-6.2142480920497699E-2</v>
      </c>
      <c r="EZ208" s="5">
        <v>-4.4307539545435801E-2</v>
      </c>
      <c r="FA208" s="5">
        <v>-9.15013340116759E-2</v>
      </c>
      <c r="FB208" s="5">
        <v>0.59031878243212799</v>
      </c>
      <c r="FC208" s="5">
        <v>-0.59114338200669103</v>
      </c>
      <c r="FD208" s="5">
        <v>0.10752702156687099</v>
      </c>
      <c r="FE208" s="5">
        <v>-0.21942369285706601</v>
      </c>
      <c r="FF208" s="5">
        <v>0.64342937468634998</v>
      </c>
      <c r="FG208" s="5">
        <v>-0.62179947896527299</v>
      </c>
      <c r="FH208" s="5">
        <v>-0.17720010115545801</v>
      </c>
      <c r="FI208" s="5">
        <v>0.12489289132263</v>
      </c>
      <c r="FJ208" s="5">
        <v>4.3086855512355998E-2</v>
      </c>
      <c r="FK208" s="5">
        <v>-0.23429907761539701</v>
      </c>
      <c r="FL208" s="5">
        <v>0.38549112916655398</v>
      </c>
      <c r="FM208" s="5">
        <v>-0.15423276887416201</v>
      </c>
      <c r="FN208" s="5">
        <v>7.1497430012288796E-2</v>
      </c>
      <c r="FO208" s="5">
        <v>-0.108550496529719</v>
      </c>
      <c r="FP208" s="5">
        <v>-0.21893329273182399</v>
      </c>
      <c r="FQ208" s="5">
        <v>0.13232932457317401</v>
      </c>
      <c r="FR208" s="5">
        <v>0.13512028568401299</v>
      </c>
      <c r="FS208" s="5">
        <v>0.17771075891511201</v>
      </c>
      <c r="FT208" s="5">
        <v>-0.26087206460228701</v>
      </c>
      <c r="FU208" s="5">
        <v>0.18509108806022401</v>
      </c>
      <c r="FV208" s="5">
        <v>0.37444132626999499</v>
      </c>
      <c r="FW208" s="5">
        <v>-0.370234271284689</v>
      </c>
      <c r="FX208" s="5">
        <v>-6.2726597862510294E-2</v>
      </c>
      <c r="FY208" s="5">
        <v>-4.6816086325432403E-2</v>
      </c>
      <c r="FZ208" s="5">
        <v>-0.184861424535115</v>
      </c>
      <c r="GA208" s="5">
        <v>0.104946549958359</v>
      </c>
      <c r="GB208" s="5">
        <v>0.55573471976408295</v>
      </c>
      <c r="GC208" s="5">
        <v>-0.55928204374698298</v>
      </c>
      <c r="GD208" s="5">
        <v>0.50923758156472299</v>
      </c>
      <c r="GE208" s="5">
        <v>-0.34552680884089598</v>
      </c>
      <c r="GF208" s="5">
        <v>-5.5312826656191298E-2</v>
      </c>
      <c r="GG208" s="5">
        <v>-9.6777743884864001E-2</v>
      </c>
      <c r="GH208" s="5">
        <v>0.33414948815974599</v>
      </c>
      <c r="GI208" s="5">
        <v>-5.3229867245754403E-2</v>
      </c>
      <c r="GJ208" s="5">
        <v>-0.151508914868343</v>
      </c>
      <c r="GK208" s="5">
        <v>8.0645844740950094E-3</v>
      </c>
      <c r="GL208" s="5">
        <v>0.22741610521377301</v>
      </c>
      <c r="GM208" s="5">
        <v>-0.326328334514837</v>
      </c>
      <c r="GN208" s="5">
        <v>0.49822196778447903</v>
      </c>
      <c r="GO208" s="5">
        <v>-0.52175300791941104</v>
      </c>
      <c r="GP208" s="5">
        <v>-0.19663680641238299</v>
      </c>
      <c r="GQ208" s="5">
        <v>2.4630510079813098E-2</v>
      </c>
      <c r="GR208" s="5">
        <v>-4.2530620527189998E-2</v>
      </c>
      <c r="GS208" s="5">
        <v>-7.9241980600696302E-2</v>
      </c>
      <c r="GT208" s="5">
        <v>-3.4761580159076301E-2</v>
      </c>
      <c r="GU208" s="5">
        <v>0.10630551548079401</v>
      </c>
      <c r="GV208" s="5">
        <v>0.20915392541080899</v>
      </c>
      <c r="GW208" s="5">
        <v>-0.32117615049062898</v>
      </c>
      <c r="GX208" s="5">
        <v>-0.150214806094051</v>
      </c>
      <c r="GY208" s="5">
        <v>2.2772490341316499E-2</v>
      </c>
      <c r="GZ208" s="5">
        <v>1</v>
      </c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</row>
    <row r="209" spans="1:389" x14ac:dyDescent="0.45">
      <c r="A209" s="4" t="str">
        <f ca="1">"LIE / beta2dist in "&amp;CELL("address",'damages-1990'!$K$105)</f>
        <v>LIE / beta2dist in '[BHM betas v3pd.xlsx]damages-1990'!$K$105</v>
      </c>
      <c r="B209" s="6">
        <v>-5.3639215018103703E-2</v>
      </c>
      <c r="C209" s="5">
        <v>8.4669323586474998E-2</v>
      </c>
      <c r="D209" s="5">
        <v>-0.209902163967602</v>
      </c>
      <c r="E209" s="5">
        <v>0.348530632238222</v>
      </c>
      <c r="F209" s="5">
        <v>-0.26905317659435402</v>
      </c>
      <c r="G209" s="5">
        <v>0.36250835144165999</v>
      </c>
      <c r="H209" s="5">
        <v>-0.60304878325887101</v>
      </c>
      <c r="I209" s="5">
        <v>0.65270630854089895</v>
      </c>
      <c r="J209" s="5">
        <v>0.15641043910522701</v>
      </c>
      <c r="K209" s="5">
        <v>-2.5371300163223101E-2</v>
      </c>
      <c r="L209" s="5">
        <v>5.8965427182017603E-2</v>
      </c>
      <c r="M209" s="5">
        <v>-9.3595314809391206E-2</v>
      </c>
      <c r="N209" s="5">
        <v>-0.37875047196816802</v>
      </c>
      <c r="O209" s="5">
        <v>0.42275449483414701</v>
      </c>
      <c r="P209" s="5">
        <v>-0.19744818954385801</v>
      </c>
      <c r="Q209" s="5">
        <v>0.30348554405697797</v>
      </c>
      <c r="R209" s="5">
        <v>7.2280090493105006E-2</v>
      </c>
      <c r="S209" s="5">
        <v>8.9478319825752897E-2</v>
      </c>
      <c r="T209" s="5">
        <v>-0.78887655699418702</v>
      </c>
      <c r="U209" s="5">
        <v>0.87507832882456105</v>
      </c>
      <c r="V209" s="5">
        <v>-0.12412754837281301</v>
      </c>
      <c r="W209" s="5">
        <v>0.22192335070459401</v>
      </c>
      <c r="X209" s="5">
        <v>-0.179032017531538</v>
      </c>
      <c r="Y209" s="5">
        <v>0.28855849744143103</v>
      </c>
      <c r="Z209" s="5">
        <v>-0.59050584706454601</v>
      </c>
      <c r="AA209" s="5">
        <v>0.70915857456432896</v>
      </c>
      <c r="AB209" s="5">
        <v>-0.18354008370685801</v>
      </c>
      <c r="AC209" s="5">
        <v>0.225517572828101</v>
      </c>
      <c r="AD209" s="5">
        <v>-0.17210902113504001</v>
      </c>
      <c r="AE209" s="5">
        <v>0.208097049243541</v>
      </c>
      <c r="AF209" s="5">
        <v>0.124958312667502</v>
      </c>
      <c r="AG209" s="5">
        <v>2.48380955025275E-2</v>
      </c>
      <c r="AH209" s="5">
        <v>-0.38926090776801597</v>
      </c>
      <c r="AI209" s="5">
        <v>0.50927123648299499</v>
      </c>
      <c r="AJ209" s="5">
        <v>0.24875596558371399</v>
      </c>
      <c r="AK209" s="5">
        <v>-9.7835259283914594E-2</v>
      </c>
      <c r="AL209" s="5">
        <v>0.26076899305343498</v>
      </c>
      <c r="AM209" s="5">
        <v>-0.23434780514765099</v>
      </c>
      <c r="AN209" s="5">
        <v>-0.60008464533445605</v>
      </c>
      <c r="AO209" s="5">
        <v>0.73157420405336304</v>
      </c>
      <c r="AP209" s="5">
        <v>-0.474426884455381</v>
      </c>
      <c r="AQ209" s="5">
        <v>0.48914443959804799</v>
      </c>
      <c r="AR209" s="5">
        <v>7.2226659825553E-2</v>
      </c>
      <c r="AS209" s="5">
        <v>3.99538892533624E-2</v>
      </c>
      <c r="AT209" s="5">
        <v>0.40620337009599899</v>
      </c>
      <c r="AU209" s="5">
        <v>-0.380979062775474</v>
      </c>
      <c r="AV209" s="5">
        <v>0.14116835629222399</v>
      </c>
      <c r="AW209" s="5">
        <v>3.21622424062247E-2</v>
      </c>
      <c r="AX209" s="5">
        <v>5.4787240370419703E-2</v>
      </c>
      <c r="AY209" s="5">
        <v>0.184195748279255</v>
      </c>
      <c r="AZ209" s="5">
        <v>-0.24935130393954999</v>
      </c>
      <c r="BA209" s="5">
        <v>0.30026150865191498</v>
      </c>
      <c r="BB209" s="5">
        <v>1.74858456582833E-3</v>
      </c>
      <c r="BC209" s="5">
        <v>0.163996442979187</v>
      </c>
      <c r="BD209" s="5">
        <v>-0.17587376442164401</v>
      </c>
      <c r="BE209" s="5">
        <v>0.20453514314284099</v>
      </c>
      <c r="BF209" s="5">
        <v>-0.22672950087132099</v>
      </c>
      <c r="BG209" s="5">
        <v>0.39617377626316003</v>
      </c>
      <c r="BH209" s="5">
        <v>-0.119855368436596</v>
      </c>
      <c r="BI209" s="5">
        <v>0.21795846835351801</v>
      </c>
      <c r="BJ209" s="5">
        <v>-0.382579569171907</v>
      </c>
      <c r="BK209" s="5">
        <v>0.24787398133055499</v>
      </c>
      <c r="BL209" s="5">
        <v>-0.81627827282009002</v>
      </c>
      <c r="BM209" s="5">
        <v>0.90996879187903801</v>
      </c>
      <c r="BN209" s="5">
        <v>-0.15804076835282799</v>
      </c>
      <c r="BO209" s="5">
        <v>0.10912909908709401</v>
      </c>
      <c r="BP209" s="5">
        <v>-0.25546063129920898</v>
      </c>
      <c r="BQ209" s="5">
        <v>0.21957535764869701</v>
      </c>
      <c r="BR209" s="5">
        <v>-0.21122096586617201</v>
      </c>
      <c r="BS209" s="5">
        <v>0.236995304052003</v>
      </c>
      <c r="BT209" s="5">
        <v>-5.8206863671393501E-2</v>
      </c>
      <c r="BU209" s="5">
        <v>0.17219369995610201</v>
      </c>
      <c r="BV209" s="5">
        <v>-8.8912779522803798E-2</v>
      </c>
      <c r="BW209" s="5">
        <v>0.206254556332611</v>
      </c>
      <c r="BX209" s="5">
        <v>-6.6436931012796102E-2</v>
      </c>
      <c r="BY209" s="5">
        <v>0.161239999904258</v>
      </c>
      <c r="BZ209" s="5">
        <v>1.9465694676542002E-2</v>
      </c>
      <c r="CA209" s="5">
        <v>0.14367660254140199</v>
      </c>
      <c r="CB209" s="5">
        <v>2.8886145052732799E-2</v>
      </c>
      <c r="CC209" s="5">
        <v>9.5117059442595506E-2</v>
      </c>
      <c r="CD209" s="5">
        <v>7.61708570255236E-3</v>
      </c>
      <c r="CE209" s="5">
        <v>8.8279696291995904E-2</v>
      </c>
      <c r="CF209" s="5">
        <v>-5.9475507768055901E-2</v>
      </c>
      <c r="CG209" s="5">
        <v>0.14337747952009799</v>
      </c>
      <c r="CH209" s="5">
        <v>0.13214266095734301</v>
      </c>
      <c r="CI209" s="5">
        <v>-9.1961095181028102E-2</v>
      </c>
      <c r="CJ209" s="5">
        <v>0.38468734958656198</v>
      </c>
      <c r="CK209" s="5">
        <v>-0.35557271829637899</v>
      </c>
      <c r="CL209" s="5">
        <v>-0.72359028340859499</v>
      </c>
      <c r="CM209" s="5">
        <v>0.82881723626575599</v>
      </c>
      <c r="CN209" s="5">
        <v>-0.65964769030686399</v>
      </c>
      <c r="CO209" s="5">
        <v>0.78360667382295401</v>
      </c>
      <c r="CP209" s="5">
        <v>-1.34654990542731E-2</v>
      </c>
      <c r="CQ209" s="5">
        <v>5.4352672757068302E-2</v>
      </c>
      <c r="CR209" s="5">
        <v>-0.24333041238595499</v>
      </c>
      <c r="CS209" s="5">
        <v>0.32097880581992799</v>
      </c>
      <c r="CT209" s="5">
        <v>-0.58468628408247203</v>
      </c>
      <c r="CU209" s="5">
        <v>0.62494263583671505</v>
      </c>
      <c r="CV209" s="5">
        <v>-0.25581711716731098</v>
      </c>
      <c r="CW209" s="5">
        <v>0.35208166556049397</v>
      </c>
      <c r="CX209" s="5">
        <v>0.17948025548946001</v>
      </c>
      <c r="CY209" s="5">
        <v>-6.9615793490095002E-2</v>
      </c>
      <c r="CZ209" s="5">
        <v>-7.2085108403193293E-2</v>
      </c>
      <c r="DA209" s="5">
        <v>0.25758134321095499</v>
      </c>
      <c r="DB209" s="5">
        <v>0.26386500796996498</v>
      </c>
      <c r="DC209" s="5">
        <v>-0.14175446195604899</v>
      </c>
      <c r="DD209" s="5">
        <v>-0.127750059401914</v>
      </c>
      <c r="DE209" s="5">
        <v>0.16351293604522299</v>
      </c>
      <c r="DF209" s="5">
        <v>0.22271034815780499</v>
      </c>
      <c r="DG209" s="5">
        <v>-0.14571214822658801</v>
      </c>
      <c r="DH209" s="5">
        <v>-5.9750941847010901E-2</v>
      </c>
      <c r="DI209" s="5">
        <v>0.123790080562593</v>
      </c>
      <c r="DJ209" s="5">
        <v>-0.39691931384889301</v>
      </c>
      <c r="DK209" s="5">
        <v>0.40228775290577701</v>
      </c>
      <c r="DL209" s="5">
        <v>-0.109584518492229</v>
      </c>
      <c r="DM209" s="5">
        <v>0.15233511516826001</v>
      </c>
      <c r="DN209" s="5">
        <v>-0.38039386651259099</v>
      </c>
      <c r="DO209" s="5">
        <v>0.37634228598948199</v>
      </c>
      <c r="DP209" s="5">
        <v>0.144988841672475</v>
      </c>
      <c r="DQ209" s="5">
        <v>-9.8433519934709404E-2</v>
      </c>
      <c r="DR209" s="5">
        <v>-0.46093938061005402</v>
      </c>
      <c r="DS209" s="5">
        <v>0.61492157148756399</v>
      </c>
      <c r="DT209" s="5">
        <v>0.107138928573594</v>
      </c>
      <c r="DU209" s="5">
        <v>-7.7319471089010106E-2</v>
      </c>
      <c r="DV209" s="5">
        <v>-0.17090860580563499</v>
      </c>
      <c r="DW209" s="5">
        <v>0.24992397263225299</v>
      </c>
      <c r="DX209" s="5">
        <v>-0.43874811878834702</v>
      </c>
      <c r="DY209" s="5">
        <v>0.42545568792389199</v>
      </c>
      <c r="DZ209" s="5">
        <v>-0.40218732615439501</v>
      </c>
      <c r="EA209" s="5">
        <v>0.48751445831554602</v>
      </c>
      <c r="EB209" s="5">
        <v>-0.13940013384585601</v>
      </c>
      <c r="EC209" s="5">
        <v>0.18999051180849499</v>
      </c>
      <c r="ED209" s="5">
        <v>-0.15209281890344101</v>
      </c>
      <c r="EE209" s="5">
        <v>0.222180081636144</v>
      </c>
      <c r="EF209" s="5">
        <v>-0.247038355029469</v>
      </c>
      <c r="EG209" s="5">
        <v>0.330445455719658</v>
      </c>
      <c r="EH209" s="5">
        <v>-4.54806304742362E-2</v>
      </c>
      <c r="EI209" s="5">
        <v>0.141922521855497</v>
      </c>
      <c r="EJ209" s="5">
        <v>-5.5171808822041798E-2</v>
      </c>
      <c r="EK209" s="5">
        <v>0.17460377658981599</v>
      </c>
      <c r="EL209" s="5">
        <v>3.5600270101774002E-2</v>
      </c>
      <c r="EM209" s="5">
        <v>1.9602775719557E-2</v>
      </c>
      <c r="EN209" s="5">
        <v>0.18378357668892201</v>
      </c>
      <c r="EO209" s="5">
        <v>-0.17233580683237301</v>
      </c>
      <c r="EP209" s="5">
        <v>-0.33652472114297199</v>
      </c>
      <c r="EQ209" s="5">
        <v>0.39986603572632401</v>
      </c>
      <c r="ER209" s="5">
        <v>-3.2322158821918002E-3</v>
      </c>
      <c r="ES209" s="5">
        <v>0.16169284119341601</v>
      </c>
      <c r="ET209" s="5">
        <v>-6.4637868089172407E-2</v>
      </c>
      <c r="EU209" s="5">
        <v>0.234788383423742</v>
      </c>
      <c r="EV209" s="5">
        <v>1.8673624336352401E-2</v>
      </c>
      <c r="EW209" s="5">
        <v>0.166318484315084</v>
      </c>
      <c r="EX209" s="5">
        <v>8.2813937672281193E-2</v>
      </c>
      <c r="EY209" s="5">
        <v>9.6351815211169103E-2</v>
      </c>
      <c r="EZ209" s="5">
        <v>6.9928427183709903E-3</v>
      </c>
      <c r="FA209" s="5">
        <v>0.101304609439924</v>
      </c>
      <c r="FB209" s="5">
        <v>-0.42213417867957398</v>
      </c>
      <c r="FC209" s="5">
        <v>0.55654015570868198</v>
      </c>
      <c r="FD209" s="5">
        <v>-0.13953813849829899</v>
      </c>
      <c r="FE209" s="5">
        <v>0.228157360074046</v>
      </c>
      <c r="FF209" s="5">
        <v>-0.48974442535007601</v>
      </c>
      <c r="FG209" s="5">
        <v>0.61273920995776598</v>
      </c>
      <c r="FH209" s="5">
        <v>0.15402923787477901</v>
      </c>
      <c r="FI209" s="5">
        <v>-0.15704686194814599</v>
      </c>
      <c r="FJ209" s="5">
        <v>-5.6379089693957503E-2</v>
      </c>
      <c r="FK209" s="5">
        <v>0.220126813745012</v>
      </c>
      <c r="FL209" s="5">
        <v>-0.188398931855666</v>
      </c>
      <c r="FM209" s="5">
        <v>9.0937967888052904E-2</v>
      </c>
      <c r="FN209" s="5">
        <v>4.66573268590098E-2</v>
      </c>
      <c r="FO209" s="5">
        <v>9.1439387175131E-3</v>
      </c>
      <c r="FP209" s="5">
        <v>0.28384056414489101</v>
      </c>
      <c r="FQ209" s="5">
        <v>-0.23295683301567599</v>
      </c>
      <c r="FR209" s="5">
        <v>-2.3631073926076801E-2</v>
      </c>
      <c r="FS209" s="5">
        <v>-0.20447146161132401</v>
      </c>
      <c r="FT209" s="5">
        <v>0.34356744264450201</v>
      </c>
      <c r="FU209" s="5">
        <v>-0.28249933147235601</v>
      </c>
      <c r="FV209" s="5">
        <v>-0.183766784536957</v>
      </c>
      <c r="FW209" s="5">
        <v>0.26608411716683</v>
      </c>
      <c r="FX209" s="5">
        <v>5.12753572915522E-2</v>
      </c>
      <c r="FY209" s="5">
        <v>3.7381198628512302E-2</v>
      </c>
      <c r="FZ209" s="5">
        <v>0.27171008365034299</v>
      </c>
      <c r="GA209" s="5">
        <v>-0.202481326127817</v>
      </c>
      <c r="GB209" s="5">
        <v>-0.36714573248064802</v>
      </c>
      <c r="GC209" s="5">
        <v>0.50074878236965203</v>
      </c>
      <c r="GD209" s="5">
        <v>-0.38375903188256599</v>
      </c>
      <c r="GE209" s="5">
        <v>0.366780254297075</v>
      </c>
      <c r="GF209" s="5">
        <v>2.41686571625691E-2</v>
      </c>
      <c r="GG209" s="5">
        <v>9.4005893701139695E-2</v>
      </c>
      <c r="GH209" s="5">
        <v>-0.17139144013108801</v>
      </c>
      <c r="GI209" s="5">
        <v>3.08527353157345E-2</v>
      </c>
      <c r="GJ209" s="5">
        <v>0.102578323151895</v>
      </c>
      <c r="GK209" s="5">
        <v>-5.4024424836333403E-3</v>
      </c>
      <c r="GL209" s="5">
        <v>-0.27720021521271399</v>
      </c>
      <c r="GM209" s="5">
        <v>0.35991453440043197</v>
      </c>
      <c r="GN209" s="5">
        <v>-0.28069633046732101</v>
      </c>
      <c r="GO209" s="5">
        <v>0.40012835935982</v>
      </c>
      <c r="GP209" s="5">
        <v>0.230304429586494</v>
      </c>
      <c r="GQ209" s="5">
        <v>-0.10865120696324899</v>
      </c>
      <c r="GR209" s="5">
        <v>2.4355228201509701E-2</v>
      </c>
      <c r="GS209" s="5">
        <v>6.9020151300983199E-2</v>
      </c>
      <c r="GT209" s="5">
        <v>0.180390951049265</v>
      </c>
      <c r="GU209" s="5">
        <v>-0.19843342322676999</v>
      </c>
      <c r="GV209" s="5">
        <v>-0.24737722207308199</v>
      </c>
      <c r="GW209" s="5">
        <v>0.33253325002249801</v>
      </c>
      <c r="GX209" s="5">
        <v>0.172267991096023</v>
      </c>
      <c r="GY209" s="5">
        <v>-7.4223206945012096E-2</v>
      </c>
      <c r="GZ209" s="5">
        <v>-0.89929925539606304</v>
      </c>
      <c r="HA209" s="5">
        <v>1</v>
      </c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</row>
    <row r="210" spans="1:389" x14ac:dyDescent="0.45">
      <c r="A210" s="4" t="str">
        <f ca="1">"LKA / beta1dist in "&amp;CELL("address",'damages-1990'!$J$106)</f>
        <v>LKA / beta1dist in '[BHM betas v3pd.xlsx]damages-1990'!$J$106</v>
      </c>
      <c r="B210" s="6">
        <v>9.5574774822789504E-2</v>
      </c>
      <c r="C210" s="5">
        <v>0.33914650398198798</v>
      </c>
      <c r="D210" s="5">
        <v>0.57916500827441997</v>
      </c>
      <c r="E210" s="5">
        <v>-0.22823311433096</v>
      </c>
      <c r="F210" s="5">
        <v>0.18936742460189801</v>
      </c>
      <c r="G210" s="5">
        <v>4.1499039632046597E-2</v>
      </c>
      <c r="H210" s="5">
        <v>-0.17195944103019201</v>
      </c>
      <c r="I210" s="5">
        <v>0.14297347091847601</v>
      </c>
      <c r="J210" s="5">
        <v>0.46193636031795798</v>
      </c>
      <c r="K210" s="5">
        <v>-8.1268017353952199E-2</v>
      </c>
      <c r="L210" s="5">
        <v>0.30493600631798701</v>
      </c>
      <c r="M210" s="5">
        <v>3.8653448022878602E-2</v>
      </c>
      <c r="N210" s="5">
        <v>0.14332548899216099</v>
      </c>
      <c r="O210" s="5">
        <v>-0.21720034900337301</v>
      </c>
      <c r="P210" s="5">
        <v>0.41116331471631701</v>
      </c>
      <c r="Q210" s="5">
        <v>-0.15282650302964601</v>
      </c>
      <c r="R210" s="5">
        <v>0.524967649663582</v>
      </c>
      <c r="S210" s="5">
        <v>-0.199230692566532</v>
      </c>
      <c r="T210" s="5">
        <v>-5.8418851435269002E-2</v>
      </c>
      <c r="U210" s="5">
        <v>4.0254922058934398E-2</v>
      </c>
      <c r="V210" s="5">
        <v>0.125378891189353</v>
      </c>
      <c r="W210" s="5">
        <v>0.30008368080115</v>
      </c>
      <c r="X210" s="5">
        <v>0.62948070624991903</v>
      </c>
      <c r="Y210" s="5">
        <v>-0.305211596615591</v>
      </c>
      <c r="Z210" s="5">
        <v>-9.3055217389453795E-3</v>
      </c>
      <c r="AA210" s="5">
        <v>0.111916624434997</v>
      </c>
      <c r="AB210" s="5">
        <v>0.36755847497330502</v>
      </c>
      <c r="AC210" s="5">
        <v>-9.4820455639686205E-2</v>
      </c>
      <c r="AD210" s="5">
        <v>0.27636055129392101</v>
      </c>
      <c r="AE210" s="5">
        <v>2.7588441347417499E-2</v>
      </c>
      <c r="AF210" s="5">
        <v>0.25521001550635197</v>
      </c>
      <c r="AG210" s="5">
        <v>5.82859860442623E-2</v>
      </c>
      <c r="AH210" s="5">
        <v>0.12353327685160399</v>
      </c>
      <c r="AI210" s="5">
        <v>6.1144437033499401E-2</v>
      </c>
      <c r="AJ210" s="5">
        <v>0.41976612019158999</v>
      </c>
      <c r="AK210" s="5">
        <v>-1.3036546489342601E-3</v>
      </c>
      <c r="AL210" s="5">
        <v>0.56619083548903404</v>
      </c>
      <c r="AM210" s="5">
        <v>-0.39057251417623101</v>
      </c>
      <c r="AN210" s="5">
        <v>8.6690035465584001E-2</v>
      </c>
      <c r="AO210" s="5">
        <v>-1.1244728191395299E-3</v>
      </c>
      <c r="AP210" s="5">
        <v>-0.28757359953036499</v>
      </c>
      <c r="AQ210" s="5">
        <v>0.30808687715684002</v>
      </c>
      <c r="AR210" s="5">
        <v>0.50780560030914501</v>
      </c>
      <c r="AS210" s="5">
        <v>-0.23092698130904199</v>
      </c>
      <c r="AT210" s="5">
        <v>0.34105857822290597</v>
      </c>
      <c r="AU210" s="5">
        <v>-8.8991117375666298E-2</v>
      </c>
      <c r="AV210" s="5">
        <v>0.540138401160427</v>
      </c>
      <c r="AW210" s="5">
        <v>-0.193523450408745</v>
      </c>
      <c r="AX210" s="5">
        <v>0.62145194377303403</v>
      </c>
      <c r="AY210" s="5">
        <v>-0.34205544758024697</v>
      </c>
      <c r="AZ210" s="5">
        <v>0.37351190213790503</v>
      </c>
      <c r="BA210" s="5">
        <v>-0.139481250123106</v>
      </c>
      <c r="BB210" s="5">
        <v>0.52562202488798004</v>
      </c>
      <c r="BC210" s="5">
        <v>-0.13033627105884599</v>
      </c>
      <c r="BD210" s="5">
        <v>-1.11176263656268E-2</v>
      </c>
      <c r="BE210" s="5">
        <v>0.40673571138718301</v>
      </c>
      <c r="BF210" s="5">
        <v>0.41769240827126503</v>
      </c>
      <c r="BG210" s="5">
        <v>-9.2026595650413198E-2</v>
      </c>
      <c r="BH210" s="5">
        <v>0.58028050960501698</v>
      </c>
      <c r="BI210" s="5">
        <v>-0.25850240159034299</v>
      </c>
      <c r="BJ210" s="5">
        <v>-0.383431067262265</v>
      </c>
      <c r="BK210" s="5">
        <v>0.250659111190284</v>
      </c>
      <c r="BL210" s="5">
        <v>-4.2601333999678102E-2</v>
      </c>
      <c r="BM210" s="5">
        <v>-1.1141323057974901E-2</v>
      </c>
      <c r="BN210" s="5">
        <v>-0.109609494832836</v>
      </c>
      <c r="BO210" s="5">
        <v>0.21748754334072001</v>
      </c>
      <c r="BP210" s="5">
        <v>-0.219048248199428</v>
      </c>
      <c r="BQ210" s="5">
        <v>0.39422058160825602</v>
      </c>
      <c r="BR210" s="5">
        <v>0.463492171650361</v>
      </c>
      <c r="BS210" s="5">
        <v>-0.18542810881423299</v>
      </c>
      <c r="BT210" s="5">
        <v>0.53380725956209196</v>
      </c>
      <c r="BU210" s="5">
        <v>-0.20076886693884999</v>
      </c>
      <c r="BV210" s="5">
        <v>0.63431409236301195</v>
      </c>
      <c r="BW210" s="5">
        <v>-0.31527701659665403</v>
      </c>
      <c r="BX210" s="5">
        <v>0.57079905240969897</v>
      </c>
      <c r="BY210" s="5">
        <v>-0.29426450656395198</v>
      </c>
      <c r="BZ210" s="5">
        <v>0.69292858399772395</v>
      </c>
      <c r="CA210" s="5">
        <v>-0.42029809203928198</v>
      </c>
      <c r="CB210" s="5">
        <v>0.56327911554707799</v>
      </c>
      <c r="CC210" s="5">
        <v>-0.34278621976411</v>
      </c>
      <c r="CD210" s="5">
        <v>0.33193899762019802</v>
      </c>
      <c r="CE210" s="5">
        <v>-8.0504265408172807E-2</v>
      </c>
      <c r="CF210" s="5">
        <v>0.49429308254634002</v>
      </c>
      <c r="CG210" s="5">
        <v>-0.24651877500685099</v>
      </c>
      <c r="CH210" s="5">
        <v>0.54321342715583598</v>
      </c>
      <c r="CI210" s="5">
        <v>-0.36583662025317198</v>
      </c>
      <c r="CJ210" s="5">
        <v>0.11267782950143999</v>
      </c>
      <c r="CK210" s="5">
        <v>0.17965435637368499</v>
      </c>
      <c r="CL210" s="5">
        <v>-3.8667009291870003E-2</v>
      </c>
      <c r="CM210" s="5">
        <v>7.6250518753573998E-2</v>
      </c>
      <c r="CN210" s="5">
        <v>-3.0231620793601199E-2</v>
      </c>
      <c r="CO210" s="5">
        <v>0.100410040579023</v>
      </c>
      <c r="CP210" s="5">
        <v>0.40099494490548498</v>
      </c>
      <c r="CQ210" s="5">
        <v>-0.14083086466952499</v>
      </c>
      <c r="CR210" s="5">
        <v>0.46819713485610698</v>
      </c>
      <c r="CS210" s="5">
        <v>-0.19876386427874801</v>
      </c>
      <c r="CT210" s="5">
        <v>-8.6568701354134206E-2</v>
      </c>
      <c r="CU210" s="5">
        <v>0.118418461632169</v>
      </c>
      <c r="CV210" s="5">
        <v>0.47805380171904699</v>
      </c>
      <c r="CW210" s="5">
        <v>-0.20744592817626401</v>
      </c>
      <c r="CX210" s="5">
        <v>0.287595194846819</v>
      </c>
      <c r="CY210" s="5">
        <v>0.12318990380097999</v>
      </c>
      <c r="CZ210" s="5">
        <v>0.707811738659754</v>
      </c>
      <c r="DA210" s="5">
        <v>-0.44566118045279801</v>
      </c>
      <c r="DB210" s="5">
        <v>0.32400375169013801</v>
      </c>
      <c r="DC210" s="5">
        <v>0.189337527876559</v>
      </c>
      <c r="DD210" s="5">
        <v>0.25679284012951697</v>
      </c>
      <c r="DE210" s="5">
        <v>3.8693536557764398E-2</v>
      </c>
      <c r="DF210" s="5">
        <v>0.51749609383669004</v>
      </c>
      <c r="DG210" s="5">
        <v>-0.200383673069855</v>
      </c>
      <c r="DH210" s="5">
        <v>0.30138904583980303</v>
      </c>
      <c r="DI210" s="5">
        <v>-3.0279810003365701E-2</v>
      </c>
      <c r="DJ210" s="5">
        <v>-0.350970682443842</v>
      </c>
      <c r="DK210" s="5">
        <v>0.344257039544479</v>
      </c>
      <c r="DL210" s="5">
        <v>0.55948395629175796</v>
      </c>
      <c r="DM210" s="5">
        <v>-0.216633779728853</v>
      </c>
      <c r="DN210" s="5">
        <v>-0.44355224591540299</v>
      </c>
      <c r="DO210" s="5">
        <v>0.38815672021374198</v>
      </c>
      <c r="DP210" s="5">
        <v>0.26407443712372503</v>
      </c>
      <c r="DQ210" s="5">
        <v>3.1462025419535598E-2</v>
      </c>
      <c r="DR210" s="5">
        <v>7.8044733436521102E-2</v>
      </c>
      <c r="DS210" s="5">
        <v>0.10948635727528599</v>
      </c>
      <c r="DT210" s="5">
        <v>0.35200412509092699</v>
      </c>
      <c r="DU210" s="5">
        <v>-0.17181465796270501</v>
      </c>
      <c r="DV210" s="5">
        <v>0.54457453812676704</v>
      </c>
      <c r="DW210" s="5">
        <v>-0.30966977159752002</v>
      </c>
      <c r="DX210" s="5">
        <v>-0.227663828656925</v>
      </c>
      <c r="DY210" s="5">
        <v>0.29922929617289701</v>
      </c>
      <c r="DZ210" s="5">
        <v>6.7168059616622006E-2</v>
      </c>
      <c r="EA210" s="5">
        <v>-0.10769645945436</v>
      </c>
      <c r="EB210" s="5">
        <v>0.45379211249499501</v>
      </c>
      <c r="EC210" s="5">
        <v>-0.16534994526859201</v>
      </c>
      <c r="ED210" s="5">
        <v>0.49819662411221699</v>
      </c>
      <c r="EE210" s="5">
        <v>-0.17559612727193699</v>
      </c>
      <c r="EF210" s="5">
        <v>0.434741813706091</v>
      </c>
      <c r="EG210" s="5">
        <v>-0.177061106558075</v>
      </c>
      <c r="EH210" s="5">
        <v>0.51641734000627704</v>
      </c>
      <c r="EI210" s="5">
        <v>-0.13343457443023801</v>
      </c>
      <c r="EJ210" s="5">
        <v>0.49214667362380299</v>
      </c>
      <c r="EK210" s="5">
        <v>-0.12435477909102501</v>
      </c>
      <c r="EL210" s="5">
        <v>0.68743486535392095</v>
      </c>
      <c r="EM210" s="5">
        <v>-0.406898028850882</v>
      </c>
      <c r="EN210" s="5">
        <v>0.19720742871028499</v>
      </c>
      <c r="EO210" s="5">
        <v>8.6190794446508304E-2</v>
      </c>
      <c r="EP210" s="5">
        <v>0.44298758837552898</v>
      </c>
      <c r="EQ210" s="5">
        <v>-0.21794614450532299</v>
      </c>
      <c r="ER210" s="5">
        <v>0.49989372289304901</v>
      </c>
      <c r="ES210" s="5">
        <v>-0.20750461074203999</v>
      </c>
      <c r="ET210" s="5">
        <v>0.52233360992609101</v>
      </c>
      <c r="EU210" s="5">
        <v>-0.29589028844646198</v>
      </c>
      <c r="EV210" s="5">
        <v>0.47797939585608401</v>
      </c>
      <c r="EW210" s="5">
        <v>-0.235888786269596</v>
      </c>
      <c r="EX210" s="5">
        <v>0.40682111661733</v>
      </c>
      <c r="EY210" s="5">
        <v>-0.164913084521291</v>
      </c>
      <c r="EZ210" s="5">
        <v>0.42313330903589402</v>
      </c>
      <c r="FA210" s="5">
        <v>-0.113643078268371</v>
      </c>
      <c r="FB210" s="5">
        <v>0.17432246981851601</v>
      </c>
      <c r="FC210" s="5">
        <v>9.9811125826509001E-3</v>
      </c>
      <c r="FD210" s="5">
        <v>0.52529941554767401</v>
      </c>
      <c r="FE210" s="5">
        <v>-0.26889553861958199</v>
      </c>
      <c r="FF210" s="5">
        <v>0.10281345376343699</v>
      </c>
      <c r="FG210" s="5">
        <v>5.3579164050920801E-2</v>
      </c>
      <c r="FH210" s="5">
        <v>0.497090284007003</v>
      </c>
      <c r="FI210" s="5">
        <v>-0.17772535230384401</v>
      </c>
      <c r="FJ210" s="5">
        <v>0.41952929494768199</v>
      </c>
      <c r="FK210" s="5">
        <v>8.1184287920112105E-3</v>
      </c>
      <c r="FL210" s="5">
        <v>-0.291628478714132</v>
      </c>
      <c r="FM210" s="5">
        <v>0.36992227042074399</v>
      </c>
      <c r="FN210" s="5">
        <v>0.15074672892458499</v>
      </c>
      <c r="FO210" s="5">
        <v>0.28449359752978098</v>
      </c>
      <c r="FP210" s="5">
        <v>0.27092978341363599</v>
      </c>
      <c r="FQ210" s="5">
        <v>0.187724822545768</v>
      </c>
      <c r="FR210" s="5">
        <v>-0.26403447244918199</v>
      </c>
      <c r="FS210" s="5">
        <v>0.20032906746746201</v>
      </c>
      <c r="FT210" s="5">
        <v>0.31794160872765198</v>
      </c>
      <c r="FU210" s="5">
        <v>0.14723517099811001</v>
      </c>
      <c r="FV210" s="5">
        <v>0.24162270422680099</v>
      </c>
      <c r="FW210" s="5">
        <v>2.3366936903651901E-2</v>
      </c>
      <c r="FX210" s="5">
        <v>0.65545213663735802</v>
      </c>
      <c r="FY210" s="5">
        <v>-0.39933906049503598</v>
      </c>
      <c r="FZ210" s="5">
        <v>0.37465148942569199</v>
      </c>
      <c r="GA210" s="5">
        <v>0.122492970219565</v>
      </c>
      <c r="GB210" s="5">
        <v>7.73346386742398E-2</v>
      </c>
      <c r="GC210" s="5">
        <v>0.17566534788299801</v>
      </c>
      <c r="GD210" s="5">
        <v>-0.20800186052354799</v>
      </c>
      <c r="GE210" s="5">
        <v>0.24051301057251601</v>
      </c>
      <c r="GF210" s="5">
        <v>0.60115654511474104</v>
      </c>
      <c r="GG210" s="5">
        <v>-0.27781700802673898</v>
      </c>
      <c r="GH210" s="5">
        <v>-0.32601992210457298</v>
      </c>
      <c r="GI210" s="5">
        <v>0.26002261164773299</v>
      </c>
      <c r="GJ210" s="5">
        <v>0.55971753082854003</v>
      </c>
      <c r="GK210" s="5">
        <v>-0.36505004641229299</v>
      </c>
      <c r="GL210" s="5">
        <v>0.38086835806210101</v>
      </c>
      <c r="GM210" s="5">
        <v>-0.118807727685107</v>
      </c>
      <c r="GN210" s="5">
        <v>0.11636158966966099</v>
      </c>
      <c r="GO210" s="5">
        <v>0.16564452793336201</v>
      </c>
      <c r="GP210" s="5">
        <v>0.34248095397630701</v>
      </c>
      <c r="GQ210" s="5">
        <v>0.104894030615896</v>
      </c>
      <c r="GR210" s="5">
        <v>0.52483472512275198</v>
      </c>
      <c r="GS210" s="5">
        <v>-0.28273084145905902</v>
      </c>
      <c r="GT210" s="5">
        <v>0.24815958901813601</v>
      </c>
      <c r="GU210" s="5">
        <v>0.15589954251989299</v>
      </c>
      <c r="GV210" s="5">
        <v>0.56351251261552504</v>
      </c>
      <c r="GW210" s="5">
        <v>-0.35329173167032202</v>
      </c>
      <c r="GX210" s="5">
        <v>0.239389312726875</v>
      </c>
      <c r="GY210" s="5">
        <v>0.17236476833278699</v>
      </c>
      <c r="GZ210" s="5">
        <v>-5.4954651755855899E-2</v>
      </c>
      <c r="HA210" s="5">
        <v>6.5102725451239504E-3</v>
      </c>
      <c r="HB210" s="5">
        <v>1</v>
      </c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</row>
    <row r="211" spans="1:389" x14ac:dyDescent="0.45">
      <c r="A211" s="4" t="str">
        <f ca="1">"LKA / beta2dist in "&amp;CELL("address",'damages-1990'!$K$106)</f>
        <v>LKA / beta2dist in '[BHM betas v3pd.xlsx]damages-1990'!$K$106</v>
      </c>
      <c r="B211" s="6">
        <v>2.5966623501879699E-2</v>
      </c>
      <c r="C211" s="5">
        <v>-8.0231875226005694E-2</v>
      </c>
      <c r="D211" s="5">
        <v>-0.35695374057170898</v>
      </c>
      <c r="E211" s="5">
        <v>0.50831131730597201</v>
      </c>
      <c r="F211" s="5">
        <v>-0.10446776492882</v>
      </c>
      <c r="G211" s="5">
        <v>9.7829319604310794E-2</v>
      </c>
      <c r="H211" s="5">
        <v>6.6665219098852799E-2</v>
      </c>
      <c r="I211" s="5">
        <v>-0.11509903969811899</v>
      </c>
      <c r="J211" s="5">
        <v>-0.207822213764257</v>
      </c>
      <c r="K211" s="5">
        <v>0.25763189567075701</v>
      </c>
      <c r="L211" s="5">
        <v>-3.0181452232615699E-2</v>
      </c>
      <c r="M211" s="5">
        <v>1.81239369774631E-2</v>
      </c>
      <c r="N211" s="5">
        <v>-0.25043079493472098</v>
      </c>
      <c r="O211" s="5">
        <v>0.33486023919229801</v>
      </c>
      <c r="P211" s="5">
        <v>-0.474520099466332</v>
      </c>
      <c r="Q211" s="5">
        <v>0.481610036502719</v>
      </c>
      <c r="R211" s="5">
        <v>-0.25795056753274498</v>
      </c>
      <c r="S211" s="5">
        <v>0.40830971946429001</v>
      </c>
      <c r="T211" s="5">
        <v>-0.12978652083584999</v>
      </c>
      <c r="U211" s="5">
        <v>0.154378805955242</v>
      </c>
      <c r="V211" s="5">
        <v>5.41553166121954E-2</v>
      </c>
      <c r="W211" s="5">
        <v>-0.167342792999013</v>
      </c>
      <c r="X211" s="5">
        <v>-0.45723121787173898</v>
      </c>
      <c r="Y211" s="5">
        <v>0.59554807299128099</v>
      </c>
      <c r="Z211" s="5">
        <v>-6.0072552163235503E-2</v>
      </c>
      <c r="AA211" s="5">
        <v>5.1389981624000103E-2</v>
      </c>
      <c r="AB211" s="5">
        <v>-0.16524884001298601</v>
      </c>
      <c r="AC211" s="5">
        <v>0.314045647930282</v>
      </c>
      <c r="AD211" s="5">
        <v>-0.112343229234386</v>
      </c>
      <c r="AE211" s="5">
        <v>0.235196524565041</v>
      </c>
      <c r="AF211" s="5">
        <v>-4.11918123905754E-2</v>
      </c>
      <c r="AG211" s="5">
        <v>0.115018349522108</v>
      </c>
      <c r="AH211" s="5">
        <v>-7.9991276787420407E-2</v>
      </c>
      <c r="AI211" s="5">
        <v>7.87855954999689E-2</v>
      </c>
      <c r="AJ211" s="5">
        <v>-0.201200742666022</v>
      </c>
      <c r="AK211" s="5">
        <v>0.17361967600754399</v>
      </c>
      <c r="AL211" s="5">
        <v>-0.23129939254651299</v>
      </c>
      <c r="AM211" s="5">
        <v>0.25805235388529602</v>
      </c>
      <c r="AN211" s="5">
        <v>-0.18735384047228101</v>
      </c>
      <c r="AO211" s="5">
        <v>0.21886731999898201</v>
      </c>
      <c r="AP211" s="5">
        <v>9.8752668340454597E-2</v>
      </c>
      <c r="AQ211" s="5">
        <v>-9.14749176470568E-2</v>
      </c>
      <c r="AR211" s="5">
        <v>-0.23988309496021001</v>
      </c>
      <c r="AS211" s="5">
        <v>0.31894849951582299</v>
      </c>
      <c r="AT211" s="5">
        <v>2.2191712448185401E-2</v>
      </c>
      <c r="AU211" s="5">
        <v>-9.8544208368122096E-2</v>
      </c>
      <c r="AV211" s="5">
        <v>-0.200138590381093</v>
      </c>
      <c r="AW211" s="5">
        <v>0.33313514449570703</v>
      </c>
      <c r="AX211" s="5">
        <v>-0.33125693419330798</v>
      </c>
      <c r="AY211" s="5">
        <v>0.54243261662903697</v>
      </c>
      <c r="AZ211" s="5">
        <v>-0.40043560743046502</v>
      </c>
      <c r="BA211" s="5">
        <v>0.42434705736836298</v>
      </c>
      <c r="BB211" s="5">
        <v>-0.24840037911019799</v>
      </c>
      <c r="BC211" s="5">
        <v>0.344754005731714</v>
      </c>
      <c r="BD211" s="5">
        <v>3.35497776664513E-2</v>
      </c>
      <c r="BE211" s="5">
        <v>-9.9435079722662897E-2</v>
      </c>
      <c r="BF211" s="5">
        <v>-0.20556329697390799</v>
      </c>
      <c r="BG211" s="5">
        <v>0.26985762969002303</v>
      </c>
      <c r="BH211" s="5">
        <v>-0.35822621876274702</v>
      </c>
      <c r="BI211" s="5">
        <v>0.53745310736333296</v>
      </c>
      <c r="BJ211" s="5">
        <v>0.126595856956109</v>
      </c>
      <c r="BK211" s="5">
        <v>-0.21213021652018901</v>
      </c>
      <c r="BL211" s="5">
        <v>-0.16251352506834099</v>
      </c>
      <c r="BM211" s="5">
        <v>0.18911536964891101</v>
      </c>
      <c r="BN211" s="5">
        <v>5.0818888745386398E-2</v>
      </c>
      <c r="BO211" s="5">
        <v>-0.14274752703754201</v>
      </c>
      <c r="BP211" s="5">
        <v>0.12508021248248899</v>
      </c>
      <c r="BQ211" s="5">
        <v>-0.304718419107667</v>
      </c>
      <c r="BR211" s="5">
        <v>-0.36136528297037401</v>
      </c>
      <c r="BS211" s="5">
        <v>0.50381977147070101</v>
      </c>
      <c r="BT211" s="5">
        <v>-0.25070029181202202</v>
      </c>
      <c r="BU211" s="5">
        <v>0.43381185428270302</v>
      </c>
      <c r="BV211" s="5">
        <v>-0.404369977899806</v>
      </c>
      <c r="BW211" s="5">
        <v>0.58665938777252402</v>
      </c>
      <c r="BX211" s="5">
        <v>-0.34420801425853198</v>
      </c>
      <c r="BY211" s="5">
        <v>0.53055445214236996</v>
      </c>
      <c r="BZ211" s="5">
        <v>-0.48841601472056101</v>
      </c>
      <c r="CA211" s="5">
        <v>0.67699212289815003</v>
      </c>
      <c r="CB211" s="5">
        <v>-0.34865658090261997</v>
      </c>
      <c r="CC211" s="5">
        <v>0.45966247557162798</v>
      </c>
      <c r="CD211" s="5">
        <v>-0.25817275012899199</v>
      </c>
      <c r="CE211" s="5">
        <v>0.27118900211075903</v>
      </c>
      <c r="CF211" s="5">
        <v>-0.41781976855452102</v>
      </c>
      <c r="CG211" s="5">
        <v>0.48079699895594702</v>
      </c>
      <c r="CH211" s="5">
        <v>-0.205673892702428</v>
      </c>
      <c r="CI211" s="5">
        <v>0.222739423922727</v>
      </c>
      <c r="CJ211" s="5">
        <v>0.120766208766802</v>
      </c>
      <c r="CK211" s="5">
        <v>-0.20131701081028</v>
      </c>
      <c r="CL211" s="5">
        <v>-8.7256945464609395E-2</v>
      </c>
      <c r="CM211" s="5">
        <v>9.4363023594676396E-2</v>
      </c>
      <c r="CN211" s="5">
        <v>-7.1713902490952497E-2</v>
      </c>
      <c r="CO211" s="5">
        <v>6.6379131648058406E-2</v>
      </c>
      <c r="CP211" s="5">
        <v>-0.429378784620286</v>
      </c>
      <c r="CQ211" s="5">
        <v>0.48375474605687702</v>
      </c>
      <c r="CR211" s="5">
        <v>-0.51633922232937601</v>
      </c>
      <c r="CS211" s="5">
        <v>0.528494284623374</v>
      </c>
      <c r="CT211" s="5">
        <v>-3.9993592467110803E-2</v>
      </c>
      <c r="CU211" s="5">
        <v>3.4474235930727501E-2</v>
      </c>
      <c r="CV211" s="5">
        <v>-0.40218967521782001</v>
      </c>
      <c r="CW211" s="5">
        <v>0.430705827272446</v>
      </c>
      <c r="CX211" s="5">
        <v>-1.40627970320543E-2</v>
      </c>
      <c r="CY211" s="5">
        <v>2.2431196496986602E-2</v>
      </c>
      <c r="CZ211" s="5">
        <v>-0.52786596008599995</v>
      </c>
      <c r="DA211" s="5">
        <v>0.67657798917389</v>
      </c>
      <c r="DB211" s="5">
        <v>-7.1159979156885699E-3</v>
      </c>
      <c r="DC211" s="5">
        <v>-0.12175671711210601</v>
      </c>
      <c r="DD211" s="5">
        <v>-0.20661748251856901</v>
      </c>
      <c r="DE211" s="5">
        <v>0.28975828268158998</v>
      </c>
      <c r="DF211" s="5">
        <v>-0.367968345499739</v>
      </c>
      <c r="DG211" s="5">
        <v>0.42630168684588499</v>
      </c>
      <c r="DH211" s="5">
        <v>-0.209584324761414</v>
      </c>
      <c r="DI211" s="5">
        <v>0.27853749906492398</v>
      </c>
      <c r="DJ211" s="5">
        <v>0.15264329267082599</v>
      </c>
      <c r="DK211" s="5">
        <v>-0.15203565706837899</v>
      </c>
      <c r="DL211" s="5">
        <v>-0.44020036011931102</v>
      </c>
      <c r="DM211" s="5">
        <v>0.56465204292814897</v>
      </c>
      <c r="DN211" s="5">
        <v>0.210218065194517</v>
      </c>
      <c r="DO211" s="5">
        <v>-0.219049703678911</v>
      </c>
      <c r="DP211" s="5">
        <v>0.168314203698125</v>
      </c>
      <c r="DQ211" s="5">
        <v>-0.19819157204777799</v>
      </c>
      <c r="DR211" s="5">
        <v>-7.9130842788490002E-2</v>
      </c>
      <c r="DS211" s="5">
        <v>7.4249047075956198E-2</v>
      </c>
      <c r="DT211" s="5">
        <v>-0.30870749490690003</v>
      </c>
      <c r="DU211" s="5">
        <v>0.33974198043982101</v>
      </c>
      <c r="DV211" s="5">
        <v>-0.38312764956867001</v>
      </c>
      <c r="DW211" s="5">
        <v>0.53559605812073596</v>
      </c>
      <c r="DX211" s="5">
        <v>0.13378842823856399</v>
      </c>
      <c r="DY211" s="5">
        <v>-0.17299380432147801</v>
      </c>
      <c r="DZ211" s="5">
        <v>-0.164436519403166</v>
      </c>
      <c r="EA211" s="5">
        <v>0.258206943763299</v>
      </c>
      <c r="EB211" s="5">
        <v>-0.303709127235817</v>
      </c>
      <c r="EC211" s="5">
        <v>0.44738588778637001</v>
      </c>
      <c r="ED211" s="5">
        <v>-0.33561474243420297</v>
      </c>
      <c r="EE211" s="5">
        <v>0.47650078294179499</v>
      </c>
      <c r="EF211" s="5">
        <v>-0.51265391925484505</v>
      </c>
      <c r="EG211" s="5">
        <v>0.51373352524000604</v>
      </c>
      <c r="EH211" s="5">
        <v>-0.31534513995446301</v>
      </c>
      <c r="EI211" s="5">
        <v>0.38843092567075699</v>
      </c>
      <c r="EJ211" s="5">
        <v>-0.28670452631244903</v>
      </c>
      <c r="EK211" s="5">
        <v>0.38467711261228199</v>
      </c>
      <c r="EL211" s="5">
        <v>-0.428320245475383</v>
      </c>
      <c r="EM211" s="5">
        <v>0.58796049306374099</v>
      </c>
      <c r="EN211" s="5">
        <v>7.7856167003795204E-2</v>
      </c>
      <c r="EO211" s="5">
        <v>-0.15055718936537901</v>
      </c>
      <c r="EP211" s="5">
        <v>-0.44887735079589702</v>
      </c>
      <c r="EQ211" s="5">
        <v>0.49304480264502898</v>
      </c>
      <c r="ER211" s="5">
        <v>-0.23845454428091201</v>
      </c>
      <c r="ES211" s="5">
        <v>0.36072587395195699</v>
      </c>
      <c r="ET211" s="5">
        <v>-0.30395017637021698</v>
      </c>
      <c r="EU211" s="5">
        <v>0.46721533347507099</v>
      </c>
      <c r="EV211" s="5">
        <v>-0.30242857606158902</v>
      </c>
      <c r="EW211" s="5">
        <v>0.45696223127569802</v>
      </c>
      <c r="EX211" s="5">
        <v>-0.14564399645545401</v>
      </c>
      <c r="EY211" s="5">
        <v>0.24774164470530499</v>
      </c>
      <c r="EZ211" s="5">
        <v>-0.187389727685012</v>
      </c>
      <c r="FA211" s="5">
        <v>0.29922147728904103</v>
      </c>
      <c r="FB211" s="5">
        <v>-0.16011740564548399</v>
      </c>
      <c r="FC211" s="5">
        <v>0.17560486701101799</v>
      </c>
      <c r="FD211" s="5">
        <v>-0.35749465450479001</v>
      </c>
      <c r="FE211" s="5">
        <v>0.42554138098746402</v>
      </c>
      <c r="FF211" s="5">
        <v>-0.10558152166925</v>
      </c>
      <c r="FG211" s="5">
        <v>0.103841749506094</v>
      </c>
      <c r="FH211" s="5">
        <v>-2.6030382518406298E-2</v>
      </c>
      <c r="FI211" s="5">
        <v>5.2912145175172003E-2</v>
      </c>
      <c r="FJ211" s="5">
        <v>-0.212027887508736</v>
      </c>
      <c r="FK211" s="5">
        <v>0.248984429420331</v>
      </c>
      <c r="FL211" s="5">
        <v>0.28174993587153602</v>
      </c>
      <c r="FM211" s="5">
        <v>-0.32972762385120102</v>
      </c>
      <c r="FN211" s="5">
        <v>7.85157769463454E-2</v>
      </c>
      <c r="FO211" s="5">
        <v>-0.13282123531596901</v>
      </c>
      <c r="FP211" s="5">
        <v>2.6612163044342801E-2</v>
      </c>
      <c r="FQ211" s="5">
        <v>-0.14731586884249201</v>
      </c>
      <c r="FR211" s="5">
        <v>0.35925986203053101</v>
      </c>
      <c r="FS211" s="5">
        <v>-0.35100959120478797</v>
      </c>
      <c r="FT211" s="5">
        <v>-2.5249813785362101E-2</v>
      </c>
      <c r="FU211" s="5">
        <v>-8.2476365930953394E-2</v>
      </c>
      <c r="FV211" s="5">
        <v>-0.123069610282716</v>
      </c>
      <c r="FW211" s="5">
        <v>0.12742662274507199</v>
      </c>
      <c r="FX211" s="5">
        <v>-0.49317059484974701</v>
      </c>
      <c r="FY211" s="5">
        <v>0.54399373088125003</v>
      </c>
      <c r="FZ211" s="5">
        <v>-6.5537572019151003E-2</v>
      </c>
      <c r="GA211" s="5">
        <v>-4.2308434130366598E-2</v>
      </c>
      <c r="GB211" s="5">
        <v>-7.1614314454321995E-2</v>
      </c>
      <c r="GC211" s="5">
        <v>6.8340745011638199E-2</v>
      </c>
      <c r="GD211" s="5">
        <v>7.6336902740462495E-2</v>
      </c>
      <c r="GE211" s="5">
        <v>-9.7322274024182295E-2</v>
      </c>
      <c r="GF211" s="5">
        <v>-0.41028873181428699</v>
      </c>
      <c r="GG211" s="5">
        <v>0.57616677256985205</v>
      </c>
      <c r="GH211" s="5">
        <v>0.304670050497859</v>
      </c>
      <c r="GI211" s="5">
        <v>-0.41719693387790302</v>
      </c>
      <c r="GJ211" s="5">
        <v>-0.261667939888311</v>
      </c>
      <c r="GK211" s="5">
        <v>0.432535170308112</v>
      </c>
      <c r="GL211" s="5">
        <v>-0.44850305155488102</v>
      </c>
      <c r="GM211" s="5">
        <v>0.43218864425416098</v>
      </c>
      <c r="GN211" s="5">
        <v>-5.7742699603063302E-2</v>
      </c>
      <c r="GO211" s="5">
        <v>5.0592747081223903E-2</v>
      </c>
      <c r="GP211" s="5">
        <v>-8.5717023476911194E-2</v>
      </c>
      <c r="GQ211" s="5">
        <v>1.11177625582964E-2</v>
      </c>
      <c r="GR211" s="5">
        <v>-0.24085176570917199</v>
      </c>
      <c r="GS211" s="5">
        <v>0.36664569250275802</v>
      </c>
      <c r="GT211" s="5">
        <v>-1.88749619529823E-2</v>
      </c>
      <c r="GU211" s="5">
        <v>-0.10158804899962399</v>
      </c>
      <c r="GV211" s="5">
        <v>-0.38953147003835298</v>
      </c>
      <c r="GW211" s="5">
        <v>0.590858545061271</v>
      </c>
      <c r="GX211" s="5">
        <v>8.3970645863701093E-2</v>
      </c>
      <c r="GY211" s="5">
        <v>-0.16285059216973499</v>
      </c>
      <c r="GZ211" s="5">
        <v>-0.151597090581437</v>
      </c>
      <c r="HA211" s="5">
        <v>0.17588007363389099</v>
      </c>
      <c r="HB211" s="5">
        <v>-0.77335392736145203</v>
      </c>
      <c r="HC211" s="5">
        <v>1</v>
      </c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</row>
    <row r="212" spans="1:389" x14ac:dyDescent="0.45">
      <c r="A212" s="4" t="str">
        <f ca="1">"LSO / beta1dist in "&amp;CELL("address",'damages-1990'!$J$107)</f>
        <v>LSO / beta1dist in '[BHM betas v3pd.xlsx]damages-1990'!$J$107</v>
      </c>
      <c r="B212" s="6">
        <v>0.56542244166761102</v>
      </c>
      <c r="C212" s="5">
        <v>-0.216511055686854</v>
      </c>
      <c r="D212" s="5">
        <v>0.241105828390028</v>
      </c>
      <c r="E212" s="5">
        <v>-0.13853750782798499</v>
      </c>
      <c r="F212" s="5">
        <v>0.42470204495831898</v>
      </c>
      <c r="G212" s="5">
        <v>-2.7310090018877E-3</v>
      </c>
      <c r="H212" s="5">
        <v>0.31536315645671698</v>
      </c>
      <c r="I212" s="5">
        <v>-0.101339344744343</v>
      </c>
      <c r="J212" s="5">
        <v>0.115090252295422</v>
      </c>
      <c r="K212" s="5">
        <v>-1.9525501636975601E-2</v>
      </c>
      <c r="L212" s="5">
        <v>0.417275938369357</v>
      </c>
      <c r="M212" s="5">
        <v>-6.3731975167629407E-2</v>
      </c>
      <c r="N212" s="5">
        <v>0.372372420490582</v>
      </c>
      <c r="O212" s="5">
        <v>-4.0782417981358697E-2</v>
      </c>
      <c r="P212" s="5">
        <v>8.6086731557300802E-2</v>
      </c>
      <c r="Q212" s="5">
        <v>-7.0530749076544594E-2</v>
      </c>
      <c r="R212" s="5">
        <v>0.245790336333018</v>
      </c>
      <c r="S212" s="5">
        <v>-0.13009138548782001</v>
      </c>
      <c r="T212" s="5">
        <v>0.29351347097533098</v>
      </c>
      <c r="U212" s="5">
        <v>-5.5411790810697102E-2</v>
      </c>
      <c r="V212" s="5">
        <v>0.53454663965440696</v>
      </c>
      <c r="W212" s="5">
        <v>-0.16579715559273001</v>
      </c>
      <c r="X212" s="5">
        <v>0.27703072554807401</v>
      </c>
      <c r="Y212" s="5">
        <v>-0.12791636261098999</v>
      </c>
      <c r="Z212" s="5">
        <v>0.43074074720623701</v>
      </c>
      <c r="AA212" s="5">
        <v>-9.8614049559229894E-2</v>
      </c>
      <c r="AB212" s="5">
        <v>0.11206489162553999</v>
      </c>
      <c r="AC212" s="5">
        <v>-8.4622783093079093E-2</v>
      </c>
      <c r="AD212" s="5">
        <v>0.15144520629992</v>
      </c>
      <c r="AE212" s="5">
        <v>-9.98091551229595E-2</v>
      </c>
      <c r="AF212" s="5">
        <v>0.12767990847541699</v>
      </c>
      <c r="AG212" s="5">
        <v>-8.2977248124744094E-2</v>
      </c>
      <c r="AH212" s="5">
        <v>0.40581750869905697</v>
      </c>
      <c r="AI212" s="5">
        <v>-3.86057993487177E-4</v>
      </c>
      <c r="AJ212" s="5">
        <v>0.115986436541843</v>
      </c>
      <c r="AK212" s="5">
        <v>-3.4363360108006502E-2</v>
      </c>
      <c r="AL212" s="5">
        <v>-1.1613975877591101E-2</v>
      </c>
      <c r="AM212" s="5">
        <v>9.1597321287238007E-2</v>
      </c>
      <c r="AN212" s="5">
        <v>0.39416566570518602</v>
      </c>
      <c r="AO212" s="5">
        <v>-2.4621153797971099E-2</v>
      </c>
      <c r="AP212" s="5">
        <v>0.33654869174358798</v>
      </c>
      <c r="AQ212" s="5">
        <v>-0.12078316326524</v>
      </c>
      <c r="AR212" s="5">
        <v>9.2300247997365206E-2</v>
      </c>
      <c r="AS212" s="5">
        <v>-3.3939431385457998E-2</v>
      </c>
      <c r="AT212" s="5">
        <v>3.1222422581356601E-2</v>
      </c>
      <c r="AU212" s="5">
        <v>4.6830608725873003E-2</v>
      </c>
      <c r="AV212" s="5">
        <v>0.16432048196865301</v>
      </c>
      <c r="AW212" s="5">
        <v>-6.6554231511939996E-2</v>
      </c>
      <c r="AX212" s="5">
        <v>0.117474755716598</v>
      </c>
      <c r="AY212" s="5">
        <v>-6.5412192307284095E-2</v>
      </c>
      <c r="AZ212" s="5">
        <v>8.6302297418825794E-2</v>
      </c>
      <c r="BA212" s="5">
        <v>-6.7153041434894506E-2</v>
      </c>
      <c r="BB212" s="5">
        <v>0.138821065277902</v>
      </c>
      <c r="BC212" s="5">
        <v>-8.0418720746334105E-2</v>
      </c>
      <c r="BD212" s="5">
        <v>0.56580983510248795</v>
      </c>
      <c r="BE212" s="5">
        <v>-0.18096320963703</v>
      </c>
      <c r="BF212" s="5">
        <v>0.20091981130192599</v>
      </c>
      <c r="BG212" s="5">
        <v>-0.14077274534275599</v>
      </c>
      <c r="BH212" s="5">
        <v>0.17338794599104801</v>
      </c>
      <c r="BI212" s="5">
        <v>-0.104392075938205</v>
      </c>
      <c r="BJ212" s="5">
        <v>0.25335774932663002</v>
      </c>
      <c r="BK212" s="5">
        <v>-6.5713677760418199E-2</v>
      </c>
      <c r="BL212" s="5">
        <v>0.29583568653841202</v>
      </c>
      <c r="BM212" s="5">
        <v>-6.6887529309401797E-2</v>
      </c>
      <c r="BN212" s="5">
        <v>0.50776553940319202</v>
      </c>
      <c r="BO212" s="5">
        <v>-0.132227119746747</v>
      </c>
      <c r="BP212" s="5">
        <v>0.50657766617856304</v>
      </c>
      <c r="BQ212" s="5">
        <v>-0.17926056984421401</v>
      </c>
      <c r="BR212" s="5">
        <v>0.14596908658698499</v>
      </c>
      <c r="BS212" s="5">
        <v>-8.1981304345602607E-2</v>
      </c>
      <c r="BT212" s="5">
        <v>0.169780348329927</v>
      </c>
      <c r="BU212" s="5">
        <v>-9.2122374906432103E-2</v>
      </c>
      <c r="BV212" s="5">
        <v>0.162097598812491</v>
      </c>
      <c r="BW212" s="5">
        <v>-8.3889112440277497E-2</v>
      </c>
      <c r="BX212" s="5">
        <v>0.140032212247722</v>
      </c>
      <c r="BY212" s="5">
        <v>-8.9425333916977295E-2</v>
      </c>
      <c r="BZ212" s="5">
        <v>7.1751231315321504E-2</v>
      </c>
      <c r="CA212" s="5">
        <v>-2.6359441328727098E-2</v>
      </c>
      <c r="CB212" s="5">
        <v>6.5167640472285904E-2</v>
      </c>
      <c r="CC212" s="5">
        <v>-1.6769388411649402E-2</v>
      </c>
      <c r="CD212" s="5">
        <v>9.9600507495307702E-2</v>
      </c>
      <c r="CE212" s="5">
        <v>-3.0173932302492799E-2</v>
      </c>
      <c r="CF212" s="5">
        <v>9.6933111229520294E-2</v>
      </c>
      <c r="CG212" s="5">
        <v>-8.9563692140944104E-2</v>
      </c>
      <c r="CH212" s="5">
        <v>-9.9867999264865396E-4</v>
      </c>
      <c r="CI212" s="5">
        <v>6.3554427750828493E-2</v>
      </c>
      <c r="CJ212" s="5">
        <v>0.20944107680215401</v>
      </c>
      <c r="CK212" s="5">
        <v>8.4441724047488193E-3</v>
      </c>
      <c r="CL212" s="5">
        <v>0.32791530473374197</v>
      </c>
      <c r="CM212" s="5">
        <v>-4.7447546197730797E-2</v>
      </c>
      <c r="CN212" s="5">
        <v>0.39032944343981801</v>
      </c>
      <c r="CO212" s="5">
        <v>-8.2432115426043007E-2</v>
      </c>
      <c r="CP212" s="5">
        <v>9.5428856987905902E-2</v>
      </c>
      <c r="CQ212" s="5">
        <v>-6.32124113951779E-2</v>
      </c>
      <c r="CR212" s="5">
        <v>0.12447941969255701</v>
      </c>
      <c r="CS212" s="5">
        <v>-7.5891995745930196E-2</v>
      </c>
      <c r="CT212" s="5">
        <v>0.32036199732870602</v>
      </c>
      <c r="CU212" s="5">
        <v>-0.101710609073667</v>
      </c>
      <c r="CV212" s="5">
        <v>6.4972799585870003E-2</v>
      </c>
      <c r="CW212" s="5">
        <v>-2.7865141198855001E-2</v>
      </c>
      <c r="CX212" s="5">
        <v>0.196086383637183</v>
      </c>
      <c r="CY212" s="5">
        <v>-8.4564294002855894E-2</v>
      </c>
      <c r="CZ212" s="5">
        <v>0.119346448403857</v>
      </c>
      <c r="DA212" s="5">
        <v>-5.5206575665768802E-2</v>
      </c>
      <c r="DB212" s="5">
        <v>0.22385116204629399</v>
      </c>
      <c r="DC212" s="5">
        <v>-9.2297076851373797E-2</v>
      </c>
      <c r="DD212" s="5">
        <v>0.140930047622989</v>
      </c>
      <c r="DE212" s="5">
        <v>-7.2372722752645099E-2</v>
      </c>
      <c r="DF212" s="5">
        <v>0.134668915601908</v>
      </c>
      <c r="DG212" s="5">
        <v>-3.7856006507820603E-2</v>
      </c>
      <c r="DH212" s="5">
        <v>0.55011671369094906</v>
      </c>
      <c r="DI212" s="5">
        <v>-0.22189782383416001</v>
      </c>
      <c r="DJ212" s="5">
        <v>0.30484732695187999</v>
      </c>
      <c r="DK212" s="5">
        <v>-0.12360752923351399</v>
      </c>
      <c r="DL212" s="5">
        <v>0.20161456917253101</v>
      </c>
      <c r="DM212" s="5">
        <v>-8.3391936539101597E-2</v>
      </c>
      <c r="DN212" s="5">
        <v>0.286059843839025</v>
      </c>
      <c r="DO212" s="5">
        <v>-0.13183645050305401</v>
      </c>
      <c r="DP212" s="5">
        <v>0.12458660464787499</v>
      </c>
      <c r="DQ212" s="5">
        <v>4.0024371093440099E-2</v>
      </c>
      <c r="DR212" s="5">
        <v>0.50459553715171801</v>
      </c>
      <c r="DS212" s="5">
        <v>-0.13097620025406601</v>
      </c>
      <c r="DT212" s="5">
        <v>4.1420976799537497E-2</v>
      </c>
      <c r="DU212" s="5">
        <v>-1.2252611796168499E-4</v>
      </c>
      <c r="DV212" s="5">
        <v>0.112448459194652</v>
      </c>
      <c r="DW212" s="5">
        <v>-7.0569574050753106E-2</v>
      </c>
      <c r="DX212" s="5">
        <v>0.40511455540575098</v>
      </c>
      <c r="DY212" s="5">
        <v>-0.14367632910038799</v>
      </c>
      <c r="DZ212" s="5">
        <v>0.41632069541691702</v>
      </c>
      <c r="EA212" s="5">
        <v>-7.0159734624876902E-2</v>
      </c>
      <c r="EB212" s="5">
        <v>0.12182964678547099</v>
      </c>
      <c r="EC212" s="5">
        <v>-6.9661328360899097E-2</v>
      </c>
      <c r="ED212" s="5">
        <v>0.175354249604768</v>
      </c>
      <c r="EE212" s="5">
        <v>-0.102442878882261</v>
      </c>
      <c r="EF212" s="5">
        <v>0.111894457294161</v>
      </c>
      <c r="EG212" s="5">
        <v>-7.6600775678536598E-2</v>
      </c>
      <c r="EH212" s="5">
        <v>0.14097797312794499</v>
      </c>
      <c r="EI212" s="5">
        <v>-7.2178226374731702E-2</v>
      </c>
      <c r="EJ212" s="5">
        <v>0.15468239568497399</v>
      </c>
      <c r="EK212" s="5">
        <v>-8.5303512939969295E-2</v>
      </c>
      <c r="EL212" s="5">
        <v>0.126859723621426</v>
      </c>
      <c r="EM212" s="5">
        <v>-5.2054491934118298E-2</v>
      </c>
      <c r="EN212" s="5">
        <v>0.28509208884669501</v>
      </c>
      <c r="EO212" s="5">
        <v>6.6517693132852204E-2</v>
      </c>
      <c r="EP212" s="5">
        <v>7.9959370734292601E-2</v>
      </c>
      <c r="EQ212" s="5">
        <v>-5.7740678229196998E-2</v>
      </c>
      <c r="ER212" s="5">
        <v>0.17875545952115299</v>
      </c>
      <c r="ES212" s="5">
        <v>-8.9094163704719107E-2</v>
      </c>
      <c r="ET212" s="5">
        <v>0.13305457130895401</v>
      </c>
      <c r="EU212" s="5">
        <v>-0.110048523019158</v>
      </c>
      <c r="EV212" s="5">
        <v>0.10193259414709201</v>
      </c>
      <c r="EW212" s="5">
        <v>-8.7105578203771294E-2</v>
      </c>
      <c r="EX212" s="5">
        <v>0.14818020137583399</v>
      </c>
      <c r="EY212" s="5">
        <v>-8.5540870821385007E-2</v>
      </c>
      <c r="EZ212" s="5">
        <v>0.127623347241614</v>
      </c>
      <c r="FA212" s="5">
        <v>-5.1307524326120402E-2</v>
      </c>
      <c r="FB212" s="5">
        <v>0.41185539281616901</v>
      </c>
      <c r="FC212" s="5">
        <v>4.0461007477078003E-4</v>
      </c>
      <c r="FD212" s="5">
        <v>5.0756075579917001E-2</v>
      </c>
      <c r="FE212" s="5">
        <v>2.578996164635E-4</v>
      </c>
      <c r="FF212" s="5">
        <v>0.38245650898214401</v>
      </c>
      <c r="FG212" s="5">
        <v>8.6372243771715498E-3</v>
      </c>
      <c r="FH212" s="5">
        <v>8.1202994985430196E-2</v>
      </c>
      <c r="FI212" s="5">
        <v>-5.7964867390031703E-3</v>
      </c>
      <c r="FJ212" s="5">
        <v>0.25439811199928097</v>
      </c>
      <c r="FK212" s="5">
        <v>-0.14857741269262001</v>
      </c>
      <c r="FL212" s="5">
        <v>0.41814835918945298</v>
      </c>
      <c r="FM212" s="5">
        <v>-0.115955482696943</v>
      </c>
      <c r="FN212" s="5">
        <v>0.40454683843262701</v>
      </c>
      <c r="FO212" s="5">
        <v>-0.13241634312984901</v>
      </c>
      <c r="FP212" s="5">
        <v>0.201195275559863</v>
      </c>
      <c r="FQ212" s="5">
        <v>-3.8753139272402502E-2</v>
      </c>
      <c r="FR212" s="5">
        <v>0.14146441384121899</v>
      </c>
      <c r="FS212" s="5">
        <v>1.4911146710248201E-2</v>
      </c>
      <c r="FT212" s="5">
        <v>0.26227863232820298</v>
      </c>
      <c r="FU212" s="5">
        <v>-6.7024011836303701E-2</v>
      </c>
      <c r="FV212" s="5">
        <v>0.46198379887676899</v>
      </c>
      <c r="FW212" s="5">
        <v>-6.6315949334298296E-2</v>
      </c>
      <c r="FX212" s="5">
        <v>3.7882455832959003E-2</v>
      </c>
      <c r="FY212" s="5">
        <v>1.8076922333818701E-2</v>
      </c>
      <c r="FZ212" s="5">
        <v>0.29188200415274301</v>
      </c>
      <c r="GA212" s="5">
        <v>-8.2539572585868803E-2</v>
      </c>
      <c r="GB212" s="5">
        <v>0.58459274355889601</v>
      </c>
      <c r="GC212" s="5">
        <v>-0.215758334449313</v>
      </c>
      <c r="GD212" s="5">
        <v>0.35914900182315601</v>
      </c>
      <c r="GE212" s="5">
        <v>-0.11678201487447</v>
      </c>
      <c r="GF212" s="5">
        <v>0.199145359306408</v>
      </c>
      <c r="GG212" s="5">
        <v>-0.108637855084753</v>
      </c>
      <c r="GH212" s="5">
        <v>0.26142305892595402</v>
      </c>
      <c r="GI212" s="5">
        <v>-1.19556828105877E-2</v>
      </c>
      <c r="GJ212" s="5">
        <v>3.5116012536647499E-2</v>
      </c>
      <c r="GK212" s="5">
        <v>9.5504911362932104E-4</v>
      </c>
      <c r="GL212" s="5">
        <v>8.0962915705607305E-2</v>
      </c>
      <c r="GM212" s="5">
        <v>-5.6088395043931601E-2</v>
      </c>
      <c r="GN212" s="5">
        <v>0.57311069024420802</v>
      </c>
      <c r="GO212" s="5">
        <v>-0.227687120895748</v>
      </c>
      <c r="GP212" s="5">
        <v>0.144227829784143</v>
      </c>
      <c r="GQ212" s="5">
        <v>-4.7322126093960498E-2</v>
      </c>
      <c r="GR212" s="5">
        <v>0.114663238237215</v>
      </c>
      <c r="GS212" s="5">
        <v>-3.4939855861267903E-2</v>
      </c>
      <c r="GT212" s="5">
        <v>0.387562906673864</v>
      </c>
      <c r="GU212" s="5">
        <v>-4.0165863033044397E-2</v>
      </c>
      <c r="GV212" s="5">
        <v>0.13120663048126499</v>
      </c>
      <c r="GW212" s="5">
        <v>-7.2851427222225207E-2</v>
      </c>
      <c r="GX212" s="5">
        <v>0.19853710976953401</v>
      </c>
      <c r="GY212" s="5">
        <v>-8.1129103135165498E-2</v>
      </c>
      <c r="GZ212" s="5">
        <v>0.290130126925777</v>
      </c>
      <c r="HA212" s="5">
        <v>-7.2036847081639502E-2</v>
      </c>
      <c r="HB212" s="5">
        <v>7.7843616686016998E-2</v>
      </c>
      <c r="HC212" s="5">
        <v>-3.7572718954270203E-2</v>
      </c>
      <c r="HD212" s="5">
        <v>1</v>
      </c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</row>
    <row r="213" spans="1:389" x14ac:dyDescent="0.45">
      <c r="A213" s="4" t="str">
        <f ca="1">"LSO / beta2dist in "&amp;CELL("address",'damages-1990'!$K$107)</f>
        <v>LSO / beta2dist in '[BHM betas v3pd.xlsx]damages-1990'!$K$107</v>
      </c>
      <c r="B213" s="6">
        <v>-0.108367487790275</v>
      </c>
      <c r="C213" s="5">
        <v>0.32154138000246302</v>
      </c>
      <c r="D213" s="5">
        <v>0.14510885944021701</v>
      </c>
      <c r="E213" s="5">
        <v>0.221115050448071</v>
      </c>
      <c r="F213" s="5">
        <v>0.132669394723508</v>
      </c>
      <c r="G213" s="5">
        <v>-0.192982975087789</v>
      </c>
      <c r="H213" s="5">
        <v>-0.20221343328522201</v>
      </c>
      <c r="I213" s="5">
        <v>6.9348815347348006E-2</v>
      </c>
      <c r="J213" s="5">
        <v>0.25411612010946499</v>
      </c>
      <c r="K213" s="5">
        <v>4.0687228238264803E-2</v>
      </c>
      <c r="L213" s="5">
        <v>0.14556758755365401</v>
      </c>
      <c r="M213" s="5">
        <v>-3.9569206905261299E-2</v>
      </c>
      <c r="N213" s="5">
        <v>-0.14361041413933701</v>
      </c>
      <c r="O213" s="5">
        <v>1.32985538732914E-2</v>
      </c>
      <c r="P213" s="5">
        <v>-3.8085925969029197E-2</v>
      </c>
      <c r="Q213" s="5">
        <v>0.26582520537663201</v>
      </c>
      <c r="R213" s="5">
        <v>0.19940651809284801</v>
      </c>
      <c r="S213" s="5">
        <v>0.146763194972272</v>
      </c>
      <c r="T213" s="5">
        <v>-0.143778278063184</v>
      </c>
      <c r="U213" s="5">
        <v>4.2774936375254202E-2</v>
      </c>
      <c r="V213" s="5">
        <v>-1.6114601243757701E-2</v>
      </c>
      <c r="W213" s="5">
        <v>0.15118535859847801</v>
      </c>
      <c r="X213" s="5">
        <v>9.3439111785710294E-2</v>
      </c>
      <c r="Y213" s="5">
        <v>0.219806853541508</v>
      </c>
      <c r="Z213" s="5">
        <v>-0.105502026251645</v>
      </c>
      <c r="AA213" s="5">
        <v>1.9934664874026599E-2</v>
      </c>
      <c r="AB213" s="5">
        <v>0.174218787431341</v>
      </c>
      <c r="AC213" s="5">
        <v>0.161436695763155</v>
      </c>
      <c r="AD213" s="5">
        <v>0.116832195348565</v>
      </c>
      <c r="AE213" s="5">
        <v>0.222464826796443</v>
      </c>
      <c r="AF213" s="5">
        <v>0.15455907973418301</v>
      </c>
      <c r="AG213" s="5">
        <v>0.14797617063577201</v>
      </c>
      <c r="AH213" s="5">
        <v>8.4826397072849696E-2</v>
      </c>
      <c r="AI213" s="5">
        <v>-0.15786060667638799</v>
      </c>
      <c r="AJ213" s="5">
        <v>0.206883374487768</v>
      </c>
      <c r="AK213" s="5">
        <v>7.4577923980461994E-2</v>
      </c>
      <c r="AL213" s="5">
        <v>0.37838404602623699</v>
      </c>
      <c r="AM213" s="5">
        <v>-0.25792265449935098</v>
      </c>
      <c r="AN213" s="5">
        <v>-4.2302111459932602E-2</v>
      </c>
      <c r="AO213" s="5">
        <v>-5.9823752284429002E-2</v>
      </c>
      <c r="AP213" s="5">
        <v>-0.21509166873505201</v>
      </c>
      <c r="AQ213" s="5">
        <v>0.15847367219682301</v>
      </c>
      <c r="AR213" s="5">
        <v>0.261743533036911</v>
      </c>
      <c r="AS213" s="5">
        <v>3.8114321486871902E-3</v>
      </c>
      <c r="AT213" s="5">
        <v>0.31174712489408302</v>
      </c>
      <c r="AU213" s="5">
        <v>-0.18480347726225699</v>
      </c>
      <c r="AV213" s="5">
        <v>0.29452721596950099</v>
      </c>
      <c r="AW213" s="5">
        <v>5.6715313313887399E-2</v>
      </c>
      <c r="AX213" s="5">
        <v>0.28072779963962502</v>
      </c>
      <c r="AY213" s="5">
        <v>7.2617076104751294E-2</v>
      </c>
      <c r="AZ213" s="5">
        <v>1.2673527995251999E-2</v>
      </c>
      <c r="BA213" s="5">
        <v>0.20261774069544</v>
      </c>
      <c r="BB213" s="5">
        <v>0.26492900507543099</v>
      </c>
      <c r="BC213" s="5">
        <v>0.113503129587194</v>
      </c>
      <c r="BD213" s="5">
        <v>-0.14272457477808501</v>
      </c>
      <c r="BE213" s="5">
        <v>0.29295025078867598</v>
      </c>
      <c r="BF213" s="5">
        <v>9.7777475632968597E-2</v>
      </c>
      <c r="BG213" s="5">
        <v>0.21654049991311</v>
      </c>
      <c r="BH213" s="5">
        <v>0.19479008978999501</v>
      </c>
      <c r="BI213" s="5">
        <v>0.18006760947742401</v>
      </c>
      <c r="BJ213" s="5">
        <v>-0.334806899333918</v>
      </c>
      <c r="BK213" s="5">
        <v>0.132234767283233</v>
      </c>
      <c r="BL213" s="5">
        <v>-0.170589690100442</v>
      </c>
      <c r="BM213" s="5">
        <v>4.7956384878353998E-2</v>
      </c>
      <c r="BN213" s="5">
        <v>-0.29799398797785298</v>
      </c>
      <c r="BO213" s="5">
        <v>0.20785218622580801</v>
      </c>
      <c r="BP213" s="5">
        <v>-0.277705298416072</v>
      </c>
      <c r="BQ213" s="5">
        <v>0.19664394960076101</v>
      </c>
      <c r="BR213" s="5">
        <v>0.117626383517328</v>
      </c>
      <c r="BS213" s="5">
        <v>0.19879416625879001</v>
      </c>
      <c r="BT213" s="5">
        <v>0.24443961787531501</v>
      </c>
      <c r="BU213" s="5">
        <v>0.13622306585720201</v>
      </c>
      <c r="BV213" s="5">
        <v>0.23342368521325901</v>
      </c>
      <c r="BW213" s="5">
        <v>0.12763289189733301</v>
      </c>
      <c r="BX213" s="5">
        <v>0.23266047948399601</v>
      </c>
      <c r="BY213" s="5">
        <v>0.11243639800329699</v>
      </c>
      <c r="BZ213" s="5">
        <v>0.301950633445705</v>
      </c>
      <c r="CA213" s="5">
        <v>4.4261022777894898E-2</v>
      </c>
      <c r="CB213" s="5">
        <v>0.240984663951888</v>
      </c>
      <c r="CC213" s="5">
        <v>1.63294911810518E-3</v>
      </c>
      <c r="CD213" s="5">
        <v>8.76870764980998E-2</v>
      </c>
      <c r="CE213" s="5">
        <v>0.12746345491574301</v>
      </c>
      <c r="CF213" s="5">
        <v>0.102099027452406</v>
      </c>
      <c r="CG213" s="5">
        <v>0.17063888208047201</v>
      </c>
      <c r="CH213" s="5">
        <v>0.34736167738318602</v>
      </c>
      <c r="CI213" s="5">
        <v>-0.220353128289106</v>
      </c>
      <c r="CJ213" s="5">
        <v>0.13536022250624299</v>
      </c>
      <c r="CK213" s="5">
        <v>-7.0042607532905005E-2</v>
      </c>
      <c r="CL213" s="5">
        <v>-8.2462260491564396E-2</v>
      </c>
      <c r="CM213" s="5">
        <v>-1.39976013322392E-2</v>
      </c>
      <c r="CN213" s="5">
        <v>-9.8028742774011704E-2</v>
      </c>
      <c r="CO213" s="5">
        <v>2.2882087487610101E-3</v>
      </c>
      <c r="CP213" s="5">
        <v>8.1436843653488203E-2</v>
      </c>
      <c r="CQ213" s="5">
        <v>0.18254537068448601</v>
      </c>
      <c r="CR213" s="5">
        <v>-3.6129987588665098E-2</v>
      </c>
      <c r="CS213" s="5">
        <v>0.26549845928216298</v>
      </c>
      <c r="CT213" s="5">
        <v>-0.12891090669805599</v>
      </c>
      <c r="CU213" s="5">
        <v>6.0882447804377099E-2</v>
      </c>
      <c r="CV213" s="5">
        <v>0.136602214797753</v>
      </c>
      <c r="CW213" s="5">
        <v>0.109174391908599</v>
      </c>
      <c r="CX213" s="5">
        <v>0.19030191263151899</v>
      </c>
      <c r="CY213" s="5">
        <v>0.113594750885105</v>
      </c>
      <c r="CZ213" s="5">
        <v>0.23589297497915401</v>
      </c>
      <c r="DA213" s="5">
        <v>8.1058677836754703E-2</v>
      </c>
      <c r="DB213" s="5">
        <v>0.17298112624363099</v>
      </c>
      <c r="DC213" s="5">
        <v>0.108505218393102</v>
      </c>
      <c r="DD213" s="5">
        <v>6.4660388080713602E-2</v>
      </c>
      <c r="DE213" s="5">
        <v>0.223604805617864</v>
      </c>
      <c r="DF213" s="5">
        <v>0.16734924475832999</v>
      </c>
      <c r="DG213" s="5">
        <v>0.109527634073257</v>
      </c>
      <c r="DH213" s="5">
        <v>-6.3412663670716907E-2</v>
      </c>
      <c r="DI213" s="5">
        <v>0.20118591553589299</v>
      </c>
      <c r="DJ213" s="5">
        <v>-0.244330354147445</v>
      </c>
      <c r="DK213" s="5">
        <v>0.18149901165510199</v>
      </c>
      <c r="DL213" s="5">
        <v>0.13200154003265499</v>
      </c>
      <c r="DM213" s="5">
        <v>0.20486117086460701</v>
      </c>
      <c r="DN213" s="5">
        <v>-0.31393237014228698</v>
      </c>
      <c r="DO213" s="5">
        <v>0.22397828035984299</v>
      </c>
      <c r="DP213" s="5">
        <v>0.32574771453289902</v>
      </c>
      <c r="DQ213" s="5">
        <v>-0.18977931425316799</v>
      </c>
      <c r="DR213" s="5">
        <v>-7.0545972482653097E-2</v>
      </c>
      <c r="DS213" s="5">
        <v>3.0682562990594402E-2</v>
      </c>
      <c r="DT213" s="5">
        <v>0.153984515684917</v>
      </c>
      <c r="DU213" s="5">
        <v>4.4592046281691196E-3</v>
      </c>
      <c r="DV213" s="5">
        <v>0.19182781991537501</v>
      </c>
      <c r="DW213" s="5">
        <v>0.102937603845536</v>
      </c>
      <c r="DX213" s="5">
        <v>-0.220101138202622</v>
      </c>
      <c r="DY213" s="5">
        <v>0.155080126934273</v>
      </c>
      <c r="DZ213" s="5">
        <v>-0.15047259845531899</v>
      </c>
      <c r="EA213" s="5">
        <v>3.9826625142100898E-2</v>
      </c>
      <c r="EB213" s="5">
        <v>0.16318961903187301</v>
      </c>
      <c r="EC213" s="5">
        <v>0.166048659205874</v>
      </c>
      <c r="ED213" s="5">
        <v>0.156608766673688</v>
      </c>
      <c r="EE213" s="5">
        <v>0.201654702219937</v>
      </c>
      <c r="EF213" s="5">
        <v>-5.9929290105044102E-2</v>
      </c>
      <c r="EG213" s="5">
        <v>0.27543718721781402</v>
      </c>
      <c r="EH213" s="5">
        <v>0.202016707872402</v>
      </c>
      <c r="EI213" s="5">
        <v>0.157684713637815</v>
      </c>
      <c r="EJ213" s="5">
        <v>0.19178230205859401</v>
      </c>
      <c r="EK213" s="5">
        <v>0.17840610096267701</v>
      </c>
      <c r="EL213" s="5">
        <v>0.27740669598940298</v>
      </c>
      <c r="EM213" s="5">
        <v>4.3170679744673299E-2</v>
      </c>
      <c r="EN213" s="5">
        <v>0.29298647729370902</v>
      </c>
      <c r="EO213" s="5">
        <v>-0.29614920379374898</v>
      </c>
      <c r="EP213" s="5">
        <v>5.4908111175244197E-2</v>
      </c>
      <c r="EQ213" s="5">
        <v>0.16768718129556201</v>
      </c>
      <c r="ER213" s="5">
        <v>0.21146270262345701</v>
      </c>
      <c r="ES213" s="5">
        <v>8.4063837476355999E-2</v>
      </c>
      <c r="ET213" s="5">
        <v>0.14281522250763001</v>
      </c>
      <c r="EU213" s="5">
        <v>0.15499779127029201</v>
      </c>
      <c r="EV213" s="5">
        <v>0.16037014507404701</v>
      </c>
      <c r="EW213" s="5">
        <v>0.14204213636337901</v>
      </c>
      <c r="EX213" s="5">
        <v>0.17726521916038199</v>
      </c>
      <c r="EY213" s="5">
        <v>5.8231077105774402E-2</v>
      </c>
      <c r="EZ213" s="5">
        <v>0.22155903298001201</v>
      </c>
      <c r="FA213" s="5">
        <v>8.51298044163315E-2</v>
      </c>
      <c r="FB213" s="5">
        <v>8.8447474424331901E-2</v>
      </c>
      <c r="FC213" s="5">
        <v>-0.17137515516021001</v>
      </c>
      <c r="FD213" s="5">
        <v>0.219969926401968</v>
      </c>
      <c r="FE213" s="5">
        <v>2.7865429736310302E-2</v>
      </c>
      <c r="FF213" s="5">
        <v>7.5943022228037907E-2</v>
      </c>
      <c r="FG213" s="5">
        <v>-0.17176222010414999</v>
      </c>
      <c r="FH213" s="5">
        <v>0.42319652955410803</v>
      </c>
      <c r="FI213" s="5">
        <v>-0.18744254520164599</v>
      </c>
      <c r="FJ213" s="5">
        <v>0.106584578162152</v>
      </c>
      <c r="FK213" s="5">
        <v>0.24779683097859001</v>
      </c>
      <c r="FL213" s="5">
        <v>-0.22342664838186099</v>
      </c>
      <c r="FM213" s="5">
        <v>0.14956988726739401</v>
      </c>
      <c r="FN213" s="5">
        <v>4.6023053175005102E-2</v>
      </c>
      <c r="FO213" s="5">
        <v>0.15777659580640499</v>
      </c>
      <c r="FP213" s="5">
        <v>0.199235980118282</v>
      </c>
      <c r="FQ213" s="5">
        <v>1.31924253760225E-2</v>
      </c>
      <c r="FR213" s="5">
        <v>-8.4026100462817499E-2</v>
      </c>
      <c r="FS213" s="5">
        <v>1.07367106427547E-2</v>
      </c>
      <c r="FT213" s="5">
        <v>0.18906867402008101</v>
      </c>
      <c r="FU213" s="5">
        <v>2.7046429443066702E-2</v>
      </c>
      <c r="FV213" s="5">
        <v>0.13169828637754</v>
      </c>
      <c r="FW213" s="5">
        <v>-0.167346885593642</v>
      </c>
      <c r="FX213" s="5">
        <v>0.243271501093904</v>
      </c>
      <c r="FY213" s="5">
        <v>-6.6883755857416703E-3</v>
      </c>
      <c r="FZ213" s="5">
        <v>0.20115845327156501</v>
      </c>
      <c r="GA213" s="5">
        <v>3.8245718094939901E-2</v>
      </c>
      <c r="GB213" s="5">
        <v>-0.12852219338273299</v>
      </c>
      <c r="GC213" s="5">
        <v>0.157298660061643</v>
      </c>
      <c r="GD213" s="5">
        <v>-0.24419254693335801</v>
      </c>
      <c r="GE213" s="5">
        <v>0.17072003326796401</v>
      </c>
      <c r="GF213" s="5">
        <v>0.13995591427346701</v>
      </c>
      <c r="GG213" s="5">
        <v>0.20953119884344901</v>
      </c>
      <c r="GH213" s="5">
        <v>-0.20952755912750601</v>
      </c>
      <c r="GI213" s="5">
        <v>5.9773302165163E-3</v>
      </c>
      <c r="GJ213" s="5">
        <v>0.32127310238802498</v>
      </c>
      <c r="GK213" s="5">
        <v>-6.5117590598737604E-2</v>
      </c>
      <c r="GL213" s="5">
        <v>-2.6826356063750698E-2</v>
      </c>
      <c r="GM213" s="5">
        <v>0.236974903881643</v>
      </c>
      <c r="GN213" s="5">
        <v>-7.5087807642511606E-2</v>
      </c>
      <c r="GO213" s="5">
        <v>0.13576311639213401</v>
      </c>
      <c r="GP213" s="5">
        <v>0.207794037880249</v>
      </c>
      <c r="GQ213" s="5">
        <v>5.61384345282816E-2</v>
      </c>
      <c r="GR213" s="5">
        <v>0.27506722304845199</v>
      </c>
      <c r="GS213" s="5">
        <v>-3.4474786622457197E-2</v>
      </c>
      <c r="GT213" s="5">
        <v>0.132052739826405</v>
      </c>
      <c r="GU213" s="5">
        <v>-4.9060081372230398E-2</v>
      </c>
      <c r="GV213" s="5">
        <v>0.17764802343024799</v>
      </c>
      <c r="GW213" s="5">
        <v>0.12599728511153799</v>
      </c>
      <c r="GX213" s="5">
        <v>0.19505648831959399</v>
      </c>
      <c r="GY213" s="5">
        <v>3.79476433657173E-2</v>
      </c>
      <c r="GZ213" s="5">
        <v>-0.16945947215005</v>
      </c>
      <c r="HA213" s="5">
        <v>5.5582331834618998E-2</v>
      </c>
      <c r="HB213" s="5">
        <v>0.29521150244532102</v>
      </c>
      <c r="HC213" s="5">
        <v>4.0570672167442798E-2</v>
      </c>
      <c r="HD213" s="5">
        <v>-0.68242330608189095</v>
      </c>
      <c r="HE213" s="5">
        <v>1</v>
      </c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</row>
    <row r="214" spans="1:389" x14ac:dyDescent="0.45">
      <c r="A214" s="4" t="str">
        <f ca="1">"LTU / beta1dist in "&amp;CELL("address",'damages-1990'!$J$108)</f>
        <v>LTU / beta1dist in '[BHM betas v3pd.xlsx]damages-1990'!$J$108</v>
      </c>
      <c r="B214" s="6">
        <v>0.26883702360529899</v>
      </c>
      <c r="C214" s="5">
        <v>-0.24967204836491</v>
      </c>
      <c r="D214" s="5">
        <v>5.5532711894456202E-2</v>
      </c>
      <c r="E214" s="5">
        <v>-0.23495239955457101</v>
      </c>
      <c r="F214" s="5">
        <v>0.390548516413182</v>
      </c>
      <c r="G214" s="5">
        <v>-0.35042229122052798</v>
      </c>
      <c r="H214" s="5">
        <v>0.53726133013391397</v>
      </c>
      <c r="I214" s="5">
        <v>-0.38128153339716597</v>
      </c>
      <c r="J214" s="5">
        <v>-0.12012605174751401</v>
      </c>
      <c r="K214" s="5">
        <v>-8.7024149716911595E-2</v>
      </c>
      <c r="L214" s="5">
        <v>0.13363111193195601</v>
      </c>
      <c r="M214" s="5">
        <v>-8.05889805456457E-2</v>
      </c>
      <c r="N214" s="5">
        <v>0.22048997585391999</v>
      </c>
      <c r="O214" s="5">
        <v>4.9170205709238003E-2</v>
      </c>
      <c r="P214" s="5">
        <v>-4.5141163253683197E-2</v>
      </c>
      <c r="Q214" s="5">
        <v>-0.11869621456097</v>
      </c>
      <c r="R214" s="5">
        <v>-0.111251807158674</v>
      </c>
      <c r="S214" s="5">
        <v>-5.9658550162531902E-2</v>
      </c>
      <c r="T214" s="5">
        <v>0.66078491757764102</v>
      </c>
      <c r="U214" s="5">
        <v>-0.53358185270483305</v>
      </c>
      <c r="V214" s="5">
        <v>0.26422622792105499</v>
      </c>
      <c r="W214" s="5">
        <v>-0.23886746682684101</v>
      </c>
      <c r="X214" s="5">
        <v>2.8327581186930101E-2</v>
      </c>
      <c r="Y214" s="5">
        <v>-0.15673443202982101</v>
      </c>
      <c r="Z214" s="5">
        <v>0.64444378933416702</v>
      </c>
      <c r="AA214" s="5">
        <v>-0.58254201495359104</v>
      </c>
      <c r="AB214" s="5">
        <v>7.6862286626034795E-2</v>
      </c>
      <c r="AC214" s="5">
        <v>-0.17171026476668</v>
      </c>
      <c r="AD214" s="5">
        <v>0.12815267371194899</v>
      </c>
      <c r="AE214" s="5">
        <v>-0.217510167090396</v>
      </c>
      <c r="AF214" s="5">
        <v>-0.14876517134304601</v>
      </c>
      <c r="AG214" s="5">
        <v>-3.4926631513946399E-2</v>
      </c>
      <c r="AH214" s="5">
        <v>0.47761688810455699</v>
      </c>
      <c r="AI214" s="5">
        <v>-0.426682452640401</v>
      </c>
      <c r="AJ214" s="5">
        <v>-0.215140579039308</v>
      </c>
      <c r="AK214" s="5">
        <v>-4.0311160817200001E-2</v>
      </c>
      <c r="AL214" s="5">
        <v>-0.34035620875558598</v>
      </c>
      <c r="AM214" s="5">
        <v>0.26423331093952301</v>
      </c>
      <c r="AN214" s="5">
        <v>0.561040330432657</v>
      </c>
      <c r="AO214" s="5">
        <v>-0.46572214813497298</v>
      </c>
      <c r="AP214" s="5">
        <v>0.896755716445236</v>
      </c>
      <c r="AQ214" s="5">
        <v>-0.81347793498130505</v>
      </c>
      <c r="AR214" s="5">
        <v>-0.156350732178172</v>
      </c>
      <c r="AS214" s="5">
        <v>-3.8810875163888601E-3</v>
      </c>
      <c r="AT214" s="5">
        <v>-0.40167950804952801</v>
      </c>
      <c r="AU214" s="5">
        <v>0.33176728030469599</v>
      </c>
      <c r="AV214" s="5">
        <v>-0.178116288015011</v>
      </c>
      <c r="AW214" s="5">
        <v>-1.7563654017191399E-2</v>
      </c>
      <c r="AX214" s="5">
        <v>-0.22469685046264601</v>
      </c>
      <c r="AY214" s="5">
        <v>8.9505188688433109E-3</v>
      </c>
      <c r="AZ214" s="5">
        <v>-4.5712770428366502E-2</v>
      </c>
      <c r="BA214" s="5">
        <v>-0.108772786890128</v>
      </c>
      <c r="BB214" s="5">
        <v>-6.9628219219435199E-3</v>
      </c>
      <c r="BC214" s="5">
        <v>-0.24369469090551599</v>
      </c>
      <c r="BD214" s="5">
        <v>0.45467101490572898</v>
      </c>
      <c r="BE214" s="5">
        <v>-0.42288742170871901</v>
      </c>
      <c r="BF214" s="5">
        <v>5.8666662115383503E-2</v>
      </c>
      <c r="BG214" s="5">
        <v>-0.24923569043167601</v>
      </c>
      <c r="BH214" s="5">
        <v>-4.1035226053824099E-2</v>
      </c>
      <c r="BI214" s="5">
        <v>-0.10213107019088399</v>
      </c>
      <c r="BJ214" s="5">
        <v>0.54581410495678795</v>
      </c>
      <c r="BK214" s="5">
        <v>-0.26409674096132901</v>
      </c>
      <c r="BL214" s="5">
        <v>0.58543576215705795</v>
      </c>
      <c r="BM214" s="5">
        <v>-0.43658490689495499</v>
      </c>
      <c r="BN214" s="5">
        <v>0.36758379530779001</v>
      </c>
      <c r="BO214" s="5">
        <v>-0.14271468695092401</v>
      </c>
      <c r="BP214" s="5">
        <v>0.62303974506852799</v>
      </c>
      <c r="BQ214" s="5">
        <v>-0.49960211944016902</v>
      </c>
      <c r="BR214" s="5">
        <v>0.129422357060091</v>
      </c>
      <c r="BS214" s="5">
        <v>-0.203294623054153</v>
      </c>
      <c r="BT214" s="5">
        <v>-4.5787654847081201E-2</v>
      </c>
      <c r="BU214" s="5">
        <v>-0.12540039250572901</v>
      </c>
      <c r="BV214" s="5">
        <v>-1.3771827566529901E-3</v>
      </c>
      <c r="BW214" s="5">
        <v>-0.1650493496697</v>
      </c>
      <c r="BX214" s="5">
        <v>2.8779464160764601E-2</v>
      </c>
      <c r="BY214" s="5">
        <v>-0.171343553151629</v>
      </c>
      <c r="BZ214" s="5">
        <v>-8.0786587997457096E-2</v>
      </c>
      <c r="CA214" s="5">
        <v>-8.0847542859511304E-2</v>
      </c>
      <c r="CB214" s="5">
        <v>-0.155933812941522</v>
      </c>
      <c r="CC214" s="5">
        <v>1.7953601805578E-2</v>
      </c>
      <c r="CD214" s="5">
        <v>-9.6298365555670506E-2</v>
      </c>
      <c r="CE214" s="5">
        <v>-7.3083767402815905E-4</v>
      </c>
      <c r="CF214" s="5">
        <v>-0.142616340595072</v>
      </c>
      <c r="CG214" s="5">
        <v>2.1400015607664299E-2</v>
      </c>
      <c r="CH214" s="5">
        <v>-0.32060496423433998</v>
      </c>
      <c r="CI214" s="5">
        <v>0.24205738872631299</v>
      </c>
      <c r="CJ214" s="5">
        <v>-8.6143151245880803E-2</v>
      </c>
      <c r="CK214" s="5">
        <v>-2.6849453284864801E-2</v>
      </c>
      <c r="CL214" s="5">
        <v>0.72409115519964995</v>
      </c>
      <c r="CM214" s="5">
        <v>-0.629905209235471</v>
      </c>
      <c r="CN214" s="5">
        <v>0.74602765498165202</v>
      </c>
      <c r="CO214" s="5">
        <v>-0.68091701341872901</v>
      </c>
      <c r="CP214" s="5">
        <v>5.2140812643792403E-2</v>
      </c>
      <c r="CQ214" s="5">
        <v>-0.118553217737792</v>
      </c>
      <c r="CR214" s="5">
        <v>-4.2655444761960697E-2</v>
      </c>
      <c r="CS214" s="5">
        <v>-0.10201231283172101</v>
      </c>
      <c r="CT214" s="5">
        <v>0.78335836503706402</v>
      </c>
      <c r="CU214" s="5">
        <v>-0.70627686324954697</v>
      </c>
      <c r="CV214" s="5">
        <v>8.4402003356724403E-2</v>
      </c>
      <c r="CW214" s="5">
        <v>-0.219464198595924</v>
      </c>
      <c r="CX214" s="5">
        <v>2.8596094315833402E-3</v>
      </c>
      <c r="CY214" s="5">
        <v>-0.20691334911944501</v>
      </c>
      <c r="CZ214" s="5">
        <v>-6.6544310353102695E-2</v>
      </c>
      <c r="DA214" s="5">
        <v>-8.2480387583209497E-2</v>
      </c>
      <c r="DB214" s="5">
        <v>-7.3540705249449806E-2</v>
      </c>
      <c r="DC214" s="5">
        <v>-0.229956696610396</v>
      </c>
      <c r="DD214" s="5">
        <v>8.8745051107181394E-2</v>
      </c>
      <c r="DE214" s="5">
        <v>-0.168984227794539</v>
      </c>
      <c r="DF214" s="5">
        <v>-0.259968809768645</v>
      </c>
      <c r="DG214" s="5">
        <v>0.15171288385197099</v>
      </c>
      <c r="DH214" s="5">
        <v>0.27912239489328899</v>
      </c>
      <c r="DI214" s="5">
        <v>-0.296004324875837</v>
      </c>
      <c r="DJ214" s="5">
        <v>0.89006831076936899</v>
      </c>
      <c r="DK214" s="5">
        <v>-0.79892527182189599</v>
      </c>
      <c r="DL214" s="5">
        <v>-9.8420507533513602E-3</v>
      </c>
      <c r="DM214" s="5">
        <v>-9.4365335568129302E-2</v>
      </c>
      <c r="DN214" s="5">
        <v>0.81324296725372502</v>
      </c>
      <c r="DO214" s="5">
        <v>-0.70081879079332698</v>
      </c>
      <c r="DP214" s="5">
        <v>2.12117345789926E-2</v>
      </c>
      <c r="DQ214" s="5">
        <v>-9.5404662002150697E-2</v>
      </c>
      <c r="DR214" s="5">
        <v>0.53617446381857403</v>
      </c>
      <c r="DS214" s="5">
        <v>-0.50779637587090598</v>
      </c>
      <c r="DT214" s="5">
        <v>-7.6869697929159597E-2</v>
      </c>
      <c r="DU214" s="5">
        <v>8.9799501368636805E-3</v>
      </c>
      <c r="DV214" s="5">
        <v>8.6053707015809305E-2</v>
      </c>
      <c r="DW214" s="5">
        <v>-0.19858987351663099</v>
      </c>
      <c r="DX214" s="5">
        <v>0.67736385481009398</v>
      </c>
      <c r="DY214" s="5">
        <v>-0.58121698253908705</v>
      </c>
      <c r="DZ214" s="5">
        <v>0.331263994594167</v>
      </c>
      <c r="EA214" s="5">
        <v>-0.10465652401499199</v>
      </c>
      <c r="EB214" s="5">
        <v>5.9123647147056903E-2</v>
      </c>
      <c r="EC214" s="5">
        <v>-0.16888900858074299</v>
      </c>
      <c r="ED214" s="5">
        <v>8.0379539499637401E-2</v>
      </c>
      <c r="EE214" s="5">
        <v>-0.19130479533943701</v>
      </c>
      <c r="EF214" s="5">
        <v>-2.6755590389413102E-2</v>
      </c>
      <c r="EG214" s="5">
        <v>-0.118163941642477</v>
      </c>
      <c r="EH214" s="5">
        <v>-1.5396021348638199E-2</v>
      </c>
      <c r="EI214" s="5">
        <v>-0.15268131527135601</v>
      </c>
      <c r="EJ214" s="5">
        <v>3.1648145587089803E-2</v>
      </c>
      <c r="EK214" s="5">
        <v>-0.19506337501978499</v>
      </c>
      <c r="EL214" s="5">
        <v>-0.181363666222566</v>
      </c>
      <c r="EM214" s="5">
        <v>7.2524885554105703E-2</v>
      </c>
      <c r="EN214" s="5">
        <v>0.110803276353139</v>
      </c>
      <c r="EO214" s="5">
        <v>-0.10104718956995901</v>
      </c>
      <c r="EP214" s="5">
        <v>-3.6561071085836297E-2</v>
      </c>
      <c r="EQ214" s="5">
        <v>-0.12664625802930701</v>
      </c>
      <c r="ER214" s="5">
        <v>-0.111714646137345</v>
      </c>
      <c r="ES214" s="5">
        <v>-4.1508924411349797E-2</v>
      </c>
      <c r="ET214" s="5">
        <v>-0.207607643432696</v>
      </c>
      <c r="EU214" s="5">
        <v>1.7386694114692298E-2</v>
      </c>
      <c r="EV214" s="5">
        <v>-0.19249950541465299</v>
      </c>
      <c r="EW214" s="5">
        <v>-4.6381764340139298E-2</v>
      </c>
      <c r="EX214" s="5">
        <v>-0.23747060291300701</v>
      </c>
      <c r="EY214" s="5">
        <v>3.0352904776061399E-2</v>
      </c>
      <c r="EZ214" s="5">
        <v>-6.2572059338000002E-2</v>
      </c>
      <c r="FA214" s="5">
        <v>-0.111585085999026</v>
      </c>
      <c r="FB214" s="5">
        <v>0.47266911548432</v>
      </c>
      <c r="FC214" s="5">
        <v>-0.43341370535844498</v>
      </c>
      <c r="FD214" s="5">
        <v>-3.45216235739896E-2</v>
      </c>
      <c r="FE214" s="5">
        <v>-9.8620863534223599E-2</v>
      </c>
      <c r="FF214" s="5">
        <v>0.58341074251891001</v>
      </c>
      <c r="FG214" s="5">
        <v>-0.53903200526216699</v>
      </c>
      <c r="FH214" s="5">
        <v>-0.21271079621203401</v>
      </c>
      <c r="FI214" s="5">
        <v>0.12847167130138801</v>
      </c>
      <c r="FJ214" s="5">
        <v>-5.5170010198667602E-2</v>
      </c>
      <c r="FK214" s="5">
        <v>-0.12937835327970701</v>
      </c>
      <c r="FL214" s="5">
        <v>0.54844509482653503</v>
      </c>
      <c r="FM214" s="5">
        <v>-0.39405673211062597</v>
      </c>
      <c r="FN214" s="5">
        <v>0.166481554454254</v>
      </c>
      <c r="FO214" s="5">
        <v>-0.24611678432114101</v>
      </c>
      <c r="FP214" s="5">
        <v>-2.4157521777405901E-2</v>
      </c>
      <c r="FQ214" s="5">
        <v>-0.18096089233291399</v>
      </c>
      <c r="FR214" s="5">
        <v>0.14039082907221001</v>
      </c>
      <c r="FS214" s="5">
        <v>0.10154783036046799</v>
      </c>
      <c r="FT214" s="5">
        <v>-5.6760340429516101E-3</v>
      </c>
      <c r="FU214" s="5">
        <v>-0.23072318121970301</v>
      </c>
      <c r="FV214" s="5">
        <v>0.35297068332318698</v>
      </c>
      <c r="FW214" s="5">
        <v>-0.35583795465592799</v>
      </c>
      <c r="FX214" s="5">
        <v>-0.18437108236782701</v>
      </c>
      <c r="FY214" s="5">
        <v>4.0773538829668797E-2</v>
      </c>
      <c r="FZ214" s="5">
        <v>4.2071736937521302E-2</v>
      </c>
      <c r="GA214" s="5">
        <v>-0.28835947894925101</v>
      </c>
      <c r="GB214" s="5">
        <v>0.55049458719751398</v>
      </c>
      <c r="GC214" s="5">
        <v>-0.55197279445788905</v>
      </c>
      <c r="GD214" s="5">
        <v>0.65403637059928599</v>
      </c>
      <c r="GE214" s="5">
        <v>-0.53804705361111305</v>
      </c>
      <c r="GF214" s="5">
        <v>-0.215886627503006</v>
      </c>
      <c r="GG214" s="5">
        <v>4.8382968349617597E-2</v>
      </c>
      <c r="GH214" s="5">
        <v>0.27356900484874402</v>
      </c>
      <c r="GI214" s="5">
        <v>4.3655663256891297E-2</v>
      </c>
      <c r="GJ214" s="5">
        <v>-0.23847611129660101</v>
      </c>
      <c r="GK214" s="5">
        <v>7.74975454413762E-2</v>
      </c>
      <c r="GL214" s="5">
        <v>5.6024842195965797E-2</v>
      </c>
      <c r="GM214" s="5">
        <v>-0.209255087512801</v>
      </c>
      <c r="GN214" s="5">
        <v>0.53955006550247497</v>
      </c>
      <c r="GO214" s="5">
        <v>-0.60054556405288895</v>
      </c>
      <c r="GP214" s="5">
        <v>-0.10262963989979</v>
      </c>
      <c r="GQ214" s="5">
        <v>-0.15519445954696401</v>
      </c>
      <c r="GR214" s="5">
        <v>-0.124014777059459</v>
      </c>
      <c r="GS214" s="5">
        <v>-5.5778551611883102E-2</v>
      </c>
      <c r="GT214" s="5">
        <v>0.14955575540824401</v>
      </c>
      <c r="GU214" s="5">
        <v>-0.20119451845578101</v>
      </c>
      <c r="GV214" s="5">
        <v>5.1661387895060099E-2</v>
      </c>
      <c r="GW214" s="5">
        <v>-0.130848761068871</v>
      </c>
      <c r="GX214" s="5">
        <v>-2.9201650806067701E-2</v>
      </c>
      <c r="GY214" s="5">
        <v>-0.19711170318059301</v>
      </c>
      <c r="GZ214" s="5">
        <v>0.61368828583101298</v>
      </c>
      <c r="HA214" s="5">
        <v>-0.47683427407030399</v>
      </c>
      <c r="HB214" s="5">
        <v>-0.28915125472953701</v>
      </c>
      <c r="HC214" s="5">
        <v>0.119190677849962</v>
      </c>
      <c r="HD214" s="5">
        <v>0.32057443225555798</v>
      </c>
      <c r="HE214" s="5">
        <v>-0.19888108377753699</v>
      </c>
      <c r="HF214" s="5">
        <v>1</v>
      </c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</row>
    <row r="215" spans="1:389" x14ac:dyDescent="0.45">
      <c r="A215" s="4" t="str">
        <f ca="1">"LTU / beta2dist in "&amp;CELL("address",'damages-1990'!$K$108)</f>
        <v>LTU / beta2dist in '[BHM betas v3pd.xlsx]damages-1990'!$K$108</v>
      </c>
      <c r="B215" s="6">
        <v>-6.6123695430761104E-2</v>
      </c>
      <c r="C215" s="5">
        <v>0.16441116609944001</v>
      </c>
      <c r="D215" s="5">
        <v>-6.3622781357946204E-2</v>
      </c>
      <c r="E215" s="5">
        <v>0.28155233788157702</v>
      </c>
      <c r="F215" s="5">
        <v>-0.17762496642895001</v>
      </c>
      <c r="G215" s="5">
        <v>0.26385615356730202</v>
      </c>
      <c r="H215" s="5">
        <v>-0.40690311324441802</v>
      </c>
      <c r="I215" s="5">
        <v>0.38195814247732701</v>
      </c>
      <c r="J215" s="5">
        <v>0.13223642478115399</v>
      </c>
      <c r="K215" s="5">
        <v>7.2729314285491495E-2</v>
      </c>
      <c r="L215" s="5">
        <v>1.8284721008832699E-2</v>
      </c>
      <c r="M215" s="5">
        <v>1.25469824488621E-2</v>
      </c>
      <c r="N215" s="5">
        <v>-1.38561038687018E-2</v>
      </c>
      <c r="O215" s="5">
        <v>-0.107067628842828</v>
      </c>
      <c r="P215" s="5">
        <v>3.2489583164040603E-2</v>
      </c>
      <c r="Q215" s="5">
        <v>0.144807767286663</v>
      </c>
      <c r="R215" s="5">
        <v>0.163479371625847</v>
      </c>
      <c r="S215" s="5">
        <v>4.80241878721962E-2</v>
      </c>
      <c r="T215" s="5">
        <v>-0.53816889214714303</v>
      </c>
      <c r="U215" s="5">
        <v>0.55320778164211004</v>
      </c>
      <c r="V215" s="5">
        <v>-6.2195485951524798E-2</v>
      </c>
      <c r="W215" s="5">
        <v>0.15027680147792499</v>
      </c>
      <c r="X215" s="5">
        <v>-1.81700679374283E-2</v>
      </c>
      <c r="Y215" s="5">
        <v>0.184644320123724</v>
      </c>
      <c r="Z215" s="5">
        <v>-0.48018881808400798</v>
      </c>
      <c r="AA215" s="5">
        <v>0.57810643791773297</v>
      </c>
      <c r="AB215" s="5">
        <v>-0.109345673028035</v>
      </c>
      <c r="AC215" s="5">
        <v>0.20606987338413099</v>
      </c>
      <c r="AD215" s="5">
        <v>-0.13736840879203699</v>
      </c>
      <c r="AE215" s="5">
        <v>0.23592857700236999</v>
      </c>
      <c r="AF215" s="5">
        <v>0.14389146244380299</v>
      </c>
      <c r="AG215" s="5">
        <v>5.2326141431109197E-2</v>
      </c>
      <c r="AH215" s="5">
        <v>-0.28614082377428501</v>
      </c>
      <c r="AI215" s="5">
        <v>0.37519188904558798</v>
      </c>
      <c r="AJ215" s="5">
        <v>0.23117015902282501</v>
      </c>
      <c r="AK215" s="5">
        <v>2.1826810034332102E-2</v>
      </c>
      <c r="AL215" s="5">
        <v>0.38489407512009399</v>
      </c>
      <c r="AM215" s="5">
        <v>-0.32369534167645903</v>
      </c>
      <c r="AN215" s="5">
        <v>-0.37880838169886599</v>
      </c>
      <c r="AO215" s="5">
        <v>0.44077331191574598</v>
      </c>
      <c r="AP215" s="5">
        <v>-0.81675280782604698</v>
      </c>
      <c r="AQ215" s="5">
        <v>0.89396937603343996</v>
      </c>
      <c r="AR215" s="5">
        <v>0.13512670024847701</v>
      </c>
      <c r="AS215" s="5">
        <v>3.9646105478244403E-2</v>
      </c>
      <c r="AT215" s="5">
        <v>0.48808930415691298</v>
      </c>
      <c r="AU215" s="5">
        <v>-0.435068841864439</v>
      </c>
      <c r="AV215" s="5">
        <v>0.213310311494911</v>
      </c>
      <c r="AW215" s="5">
        <v>9.5769770295882593E-3</v>
      </c>
      <c r="AX215" s="5">
        <v>0.224217995561907</v>
      </c>
      <c r="AY215" s="5">
        <v>-1.36912943499631E-3</v>
      </c>
      <c r="AZ215" s="5">
        <v>3.7801063979126602E-2</v>
      </c>
      <c r="BA215" s="5">
        <v>0.13000070698473501</v>
      </c>
      <c r="BB215" s="5">
        <v>-1.3805410009429E-2</v>
      </c>
      <c r="BC215" s="5">
        <v>0.29045644373580098</v>
      </c>
      <c r="BD215" s="5">
        <v>-0.22509086573423301</v>
      </c>
      <c r="BE215" s="5">
        <v>0.32605970908488202</v>
      </c>
      <c r="BF215" s="5">
        <v>-5.6236044622418803E-2</v>
      </c>
      <c r="BG215" s="5">
        <v>0.27872710882205398</v>
      </c>
      <c r="BH215" s="5">
        <v>1.8918029168243301E-2</v>
      </c>
      <c r="BI215" s="5">
        <v>0.141470859556935</v>
      </c>
      <c r="BJ215" s="5">
        <v>-0.43779554909948598</v>
      </c>
      <c r="BK215" s="5">
        <v>0.27552341516942302</v>
      </c>
      <c r="BL215" s="5">
        <v>-0.45021516037535397</v>
      </c>
      <c r="BM215" s="5">
        <v>0.44266773549202898</v>
      </c>
      <c r="BN215" s="5">
        <v>-0.15353926791296599</v>
      </c>
      <c r="BO215" s="5">
        <v>8.4104773933858498E-2</v>
      </c>
      <c r="BP215" s="5">
        <v>-0.39727882228129802</v>
      </c>
      <c r="BQ215" s="5">
        <v>0.42172273763877099</v>
      </c>
      <c r="BR215" s="5">
        <v>-0.1396698740226</v>
      </c>
      <c r="BS215" s="5">
        <v>0.22647412946730899</v>
      </c>
      <c r="BT215" s="5">
        <v>5.0949414688267497E-2</v>
      </c>
      <c r="BU215" s="5">
        <v>0.144808176006477</v>
      </c>
      <c r="BV215" s="5">
        <v>-1.45738613854411E-2</v>
      </c>
      <c r="BW215" s="5">
        <v>0.19770295655110201</v>
      </c>
      <c r="BX215" s="5">
        <v>-5.9974482764241603E-2</v>
      </c>
      <c r="BY215" s="5">
        <v>0.21856138876270401</v>
      </c>
      <c r="BZ215" s="5">
        <v>5.4266710595261301E-2</v>
      </c>
      <c r="CA215" s="5">
        <v>0.115474167258603</v>
      </c>
      <c r="CB215" s="5">
        <v>0.148857761403696</v>
      </c>
      <c r="CC215" s="5">
        <v>-5.2599829425462796E-3</v>
      </c>
      <c r="CD215" s="5">
        <v>0.14052376870094099</v>
      </c>
      <c r="CE215" s="5">
        <v>-3.0028449801970399E-2</v>
      </c>
      <c r="CF215" s="5">
        <v>0.120965482479686</v>
      </c>
      <c r="CG215" s="5">
        <v>4.40266243172236E-3</v>
      </c>
      <c r="CH215" s="5">
        <v>0.345829334889173</v>
      </c>
      <c r="CI215" s="5">
        <v>-0.276367667469818</v>
      </c>
      <c r="CJ215" s="5">
        <v>0.137386860929712</v>
      </c>
      <c r="CK215" s="5">
        <v>2.28410405046417E-2</v>
      </c>
      <c r="CL215" s="5">
        <v>-0.585670976794193</v>
      </c>
      <c r="CM215" s="5">
        <v>0.65109786346460596</v>
      </c>
      <c r="CN215" s="5">
        <v>-0.59613977790421202</v>
      </c>
      <c r="CO215" s="5">
        <v>0.697726840005925</v>
      </c>
      <c r="CP215" s="5">
        <v>-6.7249068044526197E-2</v>
      </c>
      <c r="CQ215" s="5">
        <v>0.12931413940043701</v>
      </c>
      <c r="CR215" s="5">
        <v>4.5713858412800797E-2</v>
      </c>
      <c r="CS215" s="5">
        <v>0.12929913281543701</v>
      </c>
      <c r="CT215" s="5">
        <v>-0.69897096493093103</v>
      </c>
      <c r="CU215" s="5">
        <v>0.76740574565985398</v>
      </c>
      <c r="CV215" s="5">
        <v>-7.4787091240484604E-2</v>
      </c>
      <c r="CW215" s="5">
        <v>0.22728487736250799</v>
      </c>
      <c r="CX215" s="5">
        <v>1.9197663495895401E-2</v>
      </c>
      <c r="CY215" s="5">
        <v>0.20928458758299001</v>
      </c>
      <c r="CZ215" s="5">
        <v>4.3290891112805298E-2</v>
      </c>
      <c r="DA215" s="5">
        <v>0.12719908526263299</v>
      </c>
      <c r="DB215" s="5">
        <v>9.1914019922137893E-2</v>
      </c>
      <c r="DC215" s="5">
        <v>0.23994373726586299</v>
      </c>
      <c r="DD215" s="5">
        <v>-7.8866442140880594E-2</v>
      </c>
      <c r="DE215" s="5">
        <v>0.16178063320917599</v>
      </c>
      <c r="DF215" s="5">
        <v>0.31583142202523601</v>
      </c>
      <c r="DG215" s="5">
        <v>-0.19195540590710899</v>
      </c>
      <c r="DH215" s="5">
        <v>-8.6062117648003603E-2</v>
      </c>
      <c r="DI215" s="5">
        <v>0.21553294725934199</v>
      </c>
      <c r="DJ215" s="5">
        <v>-0.82664400178313802</v>
      </c>
      <c r="DK215" s="5">
        <v>0.88794951290132296</v>
      </c>
      <c r="DL215" s="5">
        <v>2.3337452073756999E-2</v>
      </c>
      <c r="DM215" s="5">
        <v>0.10750109244341199</v>
      </c>
      <c r="DN215" s="5">
        <v>-0.76445558592064999</v>
      </c>
      <c r="DO215" s="5">
        <v>0.80099554350522095</v>
      </c>
      <c r="DP215" s="5">
        <v>9.3833964167635894E-3</v>
      </c>
      <c r="DQ215" s="5">
        <v>7.5622917618174093E-2</v>
      </c>
      <c r="DR215" s="5">
        <v>-0.33478119828349601</v>
      </c>
      <c r="DS215" s="5">
        <v>0.453632411632515</v>
      </c>
      <c r="DT215" s="5">
        <v>5.8852277752251103E-2</v>
      </c>
      <c r="DU215" s="5">
        <v>9.8536618629874303E-4</v>
      </c>
      <c r="DV215" s="5">
        <v>-9.8889440351973196E-2</v>
      </c>
      <c r="DW215" s="5">
        <v>0.22306141201777199</v>
      </c>
      <c r="DX215" s="5">
        <v>-0.52353744818368497</v>
      </c>
      <c r="DY215" s="5">
        <v>0.57528305228601595</v>
      </c>
      <c r="DZ215" s="5">
        <v>-0.12866387681719099</v>
      </c>
      <c r="EA215" s="5">
        <v>6.0881584702080403E-2</v>
      </c>
      <c r="EB215" s="5">
        <v>-7.5717741363691096E-2</v>
      </c>
      <c r="EC215" s="5">
        <v>0.189831211330074</v>
      </c>
      <c r="ED215" s="5">
        <v>-9.0995119847280898E-2</v>
      </c>
      <c r="EE215" s="5">
        <v>0.22003451295741999</v>
      </c>
      <c r="EF215" s="5">
        <v>1.85404189562174E-2</v>
      </c>
      <c r="EG215" s="5">
        <v>0.14825162303866499</v>
      </c>
      <c r="EH215" s="5">
        <v>2.6613307158134199E-2</v>
      </c>
      <c r="EI215" s="5">
        <v>0.152126774556264</v>
      </c>
      <c r="EJ215" s="5">
        <v>-2.5768343464582101E-2</v>
      </c>
      <c r="EK215" s="5">
        <v>0.20530631805074301</v>
      </c>
      <c r="EL215" s="5">
        <v>0.19256630201275099</v>
      </c>
      <c r="EM215" s="5">
        <v>-6.7133725422476198E-2</v>
      </c>
      <c r="EN215" s="5">
        <v>4.5967856537877098E-2</v>
      </c>
      <c r="EO215" s="5">
        <v>3.6426599542448701E-2</v>
      </c>
      <c r="EP215" s="5">
        <v>4.6937772946196901E-2</v>
      </c>
      <c r="EQ215" s="5">
        <v>0.13235293771995099</v>
      </c>
      <c r="ER215" s="5">
        <v>0.107230597739728</v>
      </c>
      <c r="ES215" s="5">
        <v>7.02862597229751E-2</v>
      </c>
      <c r="ET215" s="5">
        <v>0.18112636313278199</v>
      </c>
      <c r="EU215" s="5">
        <v>1.68004897246819E-2</v>
      </c>
      <c r="EV215" s="5">
        <v>0.15120435402176699</v>
      </c>
      <c r="EW215" s="5">
        <v>9.5977185990157907E-2</v>
      </c>
      <c r="EX215" s="5">
        <v>0.25269498209379299</v>
      </c>
      <c r="EY215" s="5">
        <v>-2.32255408763134E-2</v>
      </c>
      <c r="EZ215" s="5">
        <v>5.7993944880054597E-2</v>
      </c>
      <c r="FA215" s="5">
        <v>0.14077357406452001</v>
      </c>
      <c r="FB215" s="5">
        <v>-0.26953033675978399</v>
      </c>
      <c r="FC215" s="5">
        <v>0.36817784153676802</v>
      </c>
      <c r="FD215" s="5">
        <v>4.9119697515371902E-2</v>
      </c>
      <c r="FE215" s="5">
        <v>9.4944372011804196E-2</v>
      </c>
      <c r="FF215" s="5">
        <v>-0.40072696094670601</v>
      </c>
      <c r="FG215" s="5">
        <v>0.50269823399165203</v>
      </c>
      <c r="FH215" s="5">
        <v>0.238856535490753</v>
      </c>
      <c r="FI215" s="5">
        <v>-0.16493611223722801</v>
      </c>
      <c r="FJ215" s="5">
        <v>8.0748590092397293E-2</v>
      </c>
      <c r="FK215" s="5">
        <v>0.12496788290114</v>
      </c>
      <c r="FL215" s="5">
        <v>-0.37799948013128798</v>
      </c>
      <c r="FM215" s="5">
        <v>0.36707088922012598</v>
      </c>
      <c r="FN215" s="5">
        <v>-7.2831043592495703E-2</v>
      </c>
      <c r="FO215" s="5">
        <v>0.21934276996583499</v>
      </c>
      <c r="FP215" s="5">
        <v>4.0577881583956199E-2</v>
      </c>
      <c r="FQ215" s="5">
        <v>0.18546670101420201</v>
      </c>
      <c r="FR215" s="5">
        <v>-3.6768163039372803E-2</v>
      </c>
      <c r="FS215" s="5">
        <v>-0.1023536464228</v>
      </c>
      <c r="FT215" s="5">
        <v>4.5712502923871502E-2</v>
      </c>
      <c r="FU215" s="5">
        <v>0.241197387006479</v>
      </c>
      <c r="FV215" s="5">
        <v>-0.13740748409665299</v>
      </c>
      <c r="FW215" s="5">
        <v>0.25097210064518299</v>
      </c>
      <c r="FX215" s="5">
        <v>0.20553051875689299</v>
      </c>
      <c r="FY215" s="5">
        <v>-4.9180614281976502E-2</v>
      </c>
      <c r="FZ215" s="5">
        <v>9.6152715814755898E-3</v>
      </c>
      <c r="GA215" s="5">
        <v>0.29648720630111902</v>
      </c>
      <c r="GB215" s="5">
        <v>-0.34986176096767202</v>
      </c>
      <c r="GC215" s="5">
        <v>0.49675441729422398</v>
      </c>
      <c r="GD215" s="5">
        <v>-0.54125471444831097</v>
      </c>
      <c r="GE215" s="5">
        <v>0.56765487812282001</v>
      </c>
      <c r="GF215" s="5">
        <v>0.20541677826655899</v>
      </c>
      <c r="GG215" s="5">
        <v>-1.9271149136068099E-2</v>
      </c>
      <c r="GH215" s="5">
        <v>-9.3601436946370506E-2</v>
      </c>
      <c r="GI215" s="5">
        <v>-0.113858467730216</v>
      </c>
      <c r="GJ215" s="5">
        <v>0.24671919105375001</v>
      </c>
      <c r="GK215" s="5">
        <v>-9.2235853784202196E-2</v>
      </c>
      <c r="GL215" s="5">
        <v>-6.8516819767222903E-2</v>
      </c>
      <c r="GM215" s="5">
        <v>0.23836603298926001</v>
      </c>
      <c r="GN215" s="5">
        <v>-0.30373017340666902</v>
      </c>
      <c r="GO215" s="5">
        <v>0.485341668209544</v>
      </c>
      <c r="GP215" s="5">
        <v>0.108029052687941</v>
      </c>
      <c r="GQ215" s="5">
        <v>0.15296403112746701</v>
      </c>
      <c r="GR215" s="5">
        <v>0.15247449909945099</v>
      </c>
      <c r="GS215" s="5">
        <v>4.6953827307735702E-2</v>
      </c>
      <c r="GT215" s="5">
        <v>-2.8648132831176398E-2</v>
      </c>
      <c r="GU215" s="5">
        <v>0.18279037842909801</v>
      </c>
      <c r="GV215" s="5">
        <v>-4.5247474438087E-2</v>
      </c>
      <c r="GW215" s="5">
        <v>0.139362197891786</v>
      </c>
      <c r="GX215" s="5">
        <v>5.5252076142164798E-2</v>
      </c>
      <c r="GY215" s="5">
        <v>0.19094573046229699</v>
      </c>
      <c r="GZ215" s="5">
        <v>-0.49058440399746001</v>
      </c>
      <c r="HA215" s="5">
        <v>0.49301681479718501</v>
      </c>
      <c r="HB215" s="5">
        <v>0.307972474691868</v>
      </c>
      <c r="HC215" s="5">
        <v>-0.12435337266736</v>
      </c>
      <c r="HD215" s="5">
        <v>-0.11367527803682601</v>
      </c>
      <c r="HE215" s="5">
        <v>0.13652333098032499</v>
      </c>
      <c r="HF215" s="5">
        <v>-0.91256698266524905</v>
      </c>
      <c r="HG215" s="5">
        <v>1</v>
      </c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</row>
    <row r="216" spans="1:389" x14ac:dyDescent="0.45">
      <c r="A216" s="4" t="str">
        <f ca="1">"LUX / beta1dist in "&amp;CELL("address",'damages-1990'!$J$109)</f>
        <v>LUX / beta1dist in '[BHM betas v3pd.xlsx]damages-1990'!$J$109</v>
      </c>
      <c r="B216" s="6">
        <v>0.40536744164604099</v>
      </c>
      <c r="C216" s="5">
        <v>-0.19969326443329</v>
      </c>
      <c r="D216" s="5">
        <v>0.122664959081247</v>
      </c>
      <c r="E216" s="5">
        <v>-0.153530672126093</v>
      </c>
      <c r="F216" s="5">
        <v>0.62087469558138897</v>
      </c>
      <c r="G216" s="5">
        <v>-0.47944090232191799</v>
      </c>
      <c r="H216" s="5">
        <v>0.73674996332810705</v>
      </c>
      <c r="I216" s="5">
        <v>-0.57619895602998605</v>
      </c>
      <c r="J216" s="5">
        <v>-8.4171439728559394E-2</v>
      </c>
      <c r="K216" s="5">
        <v>3.89614426307139E-3</v>
      </c>
      <c r="L216" s="5">
        <v>0.241251729598804</v>
      </c>
      <c r="M216" s="5">
        <v>-5.0651303902075402E-2</v>
      </c>
      <c r="N216" s="5">
        <v>0.48682514586866699</v>
      </c>
      <c r="O216" s="5">
        <v>-0.230492833194301</v>
      </c>
      <c r="P216" s="5">
        <v>0.10518506405339501</v>
      </c>
      <c r="Q216" s="5">
        <v>-0.14538944291602399</v>
      </c>
      <c r="R216" s="5">
        <v>4.9869352349334199E-2</v>
      </c>
      <c r="S216" s="5">
        <v>-0.109956577680188</v>
      </c>
      <c r="T216" s="5">
        <v>0.78330027085230503</v>
      </c>
      <c r="U216" s="5">
        <v>-0.62855815264291204</v>
      </c>
      <c r="V216" s="5">
        <v>0.42174909648068598</v>
      </c>
      <c r="W216" s="5">
        <v>-0.236263276080695</v>
      </c>
      <c r="X216" s="5">
        <v>0.167872658997714</v>
      </c>
      <c r="Y216" s="5">
        <v>-0.16018078011105699</v>
      </c>
      <c r="Z216" s="5">
        <v>0.90672642471968701</v>
      </c>
      <c r="AA216" s="5">
        <v>-0.78208627072740999</v>
      </c>
      <c r="AB216" s="5">
        <v>0.11567489603384599</v>
      </c>
      <c r="AC216" s="5">
        <v>-0.11740502009194299</v>
      </c>
      <c r="AD216" s="5">
        <v>0.12859932007573899</v>
      </c>
      <c r="AE216" s="5">
        <v>-0.11865084191106801</v>
      </c>
      <c r="AF216" s="5">
        <v>-0.14070355597179399</v>
      </c>
      <c r="AG216" s="5">
        <v>6.1423532123340799E-2</v>
      </c>
      <c r="AH216" s="5">
        <v>0.62087833150217497</v>
      </c>
      <c r="AI216" s="5">
        <v>-0.46389400544405202</v>
      </c>
      <c r="AJ216" s="5">
        <v>-0.16369806860581901</v>
      </c>
      <c r="AK216" s="5">
        <v>5.3670680057647698E-2</v>
      </c>
      <c r="AL216" s="5">
        <v>-0.11019985451839499</v>
      </c>
      <c r="AM216" s="5">
        <v>8.2818768192370204E-2</v>
      </c>
      <c r="AN216" s="5">
        <v>0.75144574500140704</v>
      </c>
      <c r="AO216" s="5">
        <v>-0.58669375923535705</v>
      </c>
      <c r="AP216" s="5">
        <v>0.64049967024365395</v>
      </c>
      <c r="AQ216" s="5">
        <v>-0.46365835226027502</v>
      </c>
      <c r="AR216" s="5">
        <v>-9.3990074986630895E-2</v>
      </c>
      <c r="AS216" s="5">
        <v>3.5589704756353299E-2</v>
      </c>
      <c r="AT216" s="5">
        <v>-0.22630390056156399</v>
      </c>
      <c r="AU216" s="5">
        <v>0.21084660967570201</v>
      </c>
      <c r="AV216" s="5">
        <v>-5.9737589285516E-2</v>
      </c>
      <c r="AW216" s="5">
        <v>-1.8736449597535301E-2</v>
      </c>
      <c r="AX216" s="5">
        <v>-0.101600738760433</v>
      </c>
      <c r="AY216" s="5">
        <v>-3.49989148155379E-2</v>
      </c>
      <c r="AZ216" s="5">
        <v>3.2246252302087199E-2</v>
      </c>
      <c r="BA216" s="5">
        <v>-4.9198867684415198E-2</v>
      </c>
      <c r="BB216" s="5">
        <v>1.5673346997952801E-2</v>
      </c>
      <c r="BC216" s="5">
        <v>-9.5124354588212404E-2</v>
      </c>
      <c r="BD216" s="5">
        <v>0.55993665494938105</v>
      </c>
      <c r="BE216" s="5">
        <v>-0.33834719733328</v>
      </c>
      <c r="BF216" s="5">
        <v>7.5865804662019906E-2</v>
      </c>
      <c r="BG216" s="5">
        <v>-0.150981798978781</v>
      </c>
      <c r="BH216" s="5">
        <v>7.4548260164805397E-2</v>
      </c>
      <c r="BI216" s="5">
        <v>-9.0066192713970997E-2</v>
      </c>
      <c r="BJ216" s="5">
        <v>0.46138086603895201</v>
      </c>
      <c r="BK216" s="5">
        <v>-0.169677213657732</v>
      </c>
      <c r="BL216" s="5">
        <v>0.79111504761656404</v>
      </c>
      <c r="BM216" s="5">
        <v>-0.63124617908766101</v>
      </c>
      <c r="BN216" s="5">
        <v>0.53043585502951696</v>
      </c>
      <c r="BO216" s="5">
        <v>-0.24385891226523701</v>
      </c>
      <c r="BP216" s="5">
        <v>0.66926423661533396</v>
      </c>
      <c r="BQ216" s="5">
        <v>-0.45492985765146299</v>
      </c>
      <c r="BR216" s="5">
        <v>0.16413730477753799</v>
      </c>
      <c r="BS216" s="5">
        <v>-0.12922059532516</v>
      </c>
      <c r="BT216" s="5">
        <v>5.9627084793557501E-2</v>
      </c>
      <c r="BU216" s="5">
        <v>-8.8003479395859299E-2</v>
      </c>
      <c r="BV216" s="5">
        <v>9.0121289239499899E-2</v>
      </c>
      <c r="BW216" s="5">
        <v>-0.12617579031151299</v>
      </c>
      <c r="BX216" s="5">
        <v>9.3857237866072196E-2</v>
      </c>
      <c r="BY216" s="5">
        <v>-0.11874243282071301</v>
      </c>
      <c r="BZ216" s="5">
        <v>-1.97854654446382E-2</v>
      </c>
      <c r="CA216" s="5">
        <v>-6.5403066440813395E-2</v>
      </c>
      <c r="CB216" s="5">
        <v>1.55735446034613E-2</v>
      </c>
      <c r="CC216" s="5">
        <v>-8.2581220413875403E-2</v>
      </c>
      <c r="CD216" s="5">
        <v>4.3099974721022699E-2</v>
      </c>
      <c r="CE216" s="5">
        <v>-6.09415023906721E-2</v>
      </c>
      <c r="CF216" s="5">
        <v>-5.8762729904243603E-2</v>
      </c>
      <c r="CG216" s="5">
        <v>2.7204467987462701E-3</v>
      </c>
      <c r="CH216" s="5">
        <v>-5.5194819979870698E-2</v>
      </c>
      <c r="CI216" s="5">
        <v>3.3414712147217897E-2</v>
      </c>
      <c r="CJ216" s="5">
        <v>-3.97134825092181E-2</v>
      </c>
      <c r="CK216" s="5">
        <v>7.5896959202887804E-2</v>
      </c>
      <c r="CL216" s="5">
        <v>0.82481922877389502</v>
      </c>
      <c r="CM216" s="5">
        <v>-0.67880971250658795</v>
      </c>
      <c r="CN216" s="5">
        <v>0.89009489750747095</v>
      </c>
      <c r="CO216" s="5">
        <v>-0.75902006545491996</v>
      </c>
      <c r="CP216" s="5">
        <v>-4.8943328539225797E-2</v>
      </c>
      <c r="CQ216" s="5">
        <v>3.15309291810573E-2</v>
      </c>
      <c r="CR216" s="5">
        <v>0.121879906107522</v>
      </c>
      <c r="CS216" s="5">
        <v>-0.12011894509634399</v>
      </c>
      <c r="CT216" s="5">
        <v>0.78062644938255599</v>
      </c>
      <c r="CU216" s="5">
        <v>-0.62133583494784905</v>
      </c>
      <c r="CV216" s="5">
        <v>0.192800454660533</v>
      </c>
      <c r="CW216" s="5">
        <v>-0.21254620891033499</v>
      </c>
      <c r="CX216" s="5">
        <v>-2.2380545166792699E-2</v>
      </c>
      <c r="CY216" s="5">
        <v>-2.6975473166877002E-2</v>
      </c>
      <c r="CZ216" s="5">
        <v>5.7511302888627401E-2</v>
      </c>
      <c r="DA216" s="5">
        <v>-0.14002352874591401</v>
      </c>
      <c r="DB216" s="5">
        <v>-4.5844309288369599E-2</v>
      </c>
      <c r="DC216" s="5">
        <v>-5.0170891032143498E-2</v>
      </c>
      <c r="DD216" s="5">
        <v>2.8522444405084401E-2</v>
      </c>
      <c r="DE216" s="5">
        <v>-2.71340653988329E-2</v>
      </c>
      <c r="DF216" s="5">
        <v>-0.124210693136856</v>
      </c>
      <c r="DG216" s="5">
        <v>0.11613458391357</v>
      </c>
      <c r="DH216" s="5">
        <v>0.47945119952082998</v>
      </c>
      <c r="DI216" s="5">
        <v>-0.35827728331005099</v>
      </c>
      <c r="DJ216" s="5">
        <v>0.59565487909140002</v>
      </c>
      <c r="DK216" s="5">
        <v>-0.42998972526495399</v>
      </c>
      <c r="DL216" s="5">
        <v>6.9859920237008197E-2</v>
      </c>
      <c r="DM216" s="5">
        <v>-3.0003415758774601E-2</v>
      </c>
      <c r="DN216" s="5">
        <v>0.58048228180836003</v>
      </c>
      <c r="DO216" s="5">
        <v>-0.40961227542433098</v>
      </c>
      <c r="DP216" s="5">
        <v>-2.5951645130964301E-2</v>
      </c>
      <c r="DQ216" s="5">
        <v>6.7161435092389393E-2</v>
      </c>
      <c r="DR216" s="5">
        <v>0.84661953732935202</v>
      </c>
      <c r="DS216" s="5">
        <v>-0.760913464555526</v>
      </c>
      <c r="DT216" s="5">
        <v>-0.17835494729443599</v>
      </c>
      <c r="DU216" s="5">
        <v>0.16534115261642299</v>
      </c>
      <c r="DV216" s="5">
        <v>0.187456059070499</v>
      </c>
      <c r="DW216" s="5">
        <v>-0.211181697441471</v>
      </c>
      <c r="DX216" s="5">
        <v>0.77711556659704895</v>
      </c>
      <c r="DY216" s="5">
        <v>-0.57882890630902495</v>
      </c>
      <c r="DZ216" s="5">
        <v>0.54098952584317905</v>
      </c>
      <c r="EA216" s="5">
        <v>-0.30650881637678601</v>
      </c>
      <c r="EB216" s="5">
        <v>8.3007539309046696E-2</v>
      </c>
      <c r="EC216" s="5">
        <v>-9.1729540161106002E-2</v>
      </c>
      <c r="ED216" s="5">
        <v>0.139411004362615</v>
      </c>
      <c r="EE216" s="5">
        <v>-0.129905706101347</v>
      </c>
      <c r="EF216" s="5">
        <v>0.124218994311478</v>
      </c>
      <c r="EG216" s="5">
        <v>-0.13714784611056599</v>
      </c>
      <c r="EH216" s="5">
        <v>-1.5144372423615E-2</v>
      </c>
      <c r="EI216" s="5">
        <v>-1.4143800513163199E-2</v>
      </c>
      <c r="EJ216" s="5">
        <v>1.7626084643521101E-2</v>
      </c>
      <c r="EK216" s="5">
        <v>-5.4873128096004198E-2</v>
      </c>
      <c r="EL216" s="5">
        <v>-2.3901398739860601E-2</v>
      </c>
      <c r="EM216" s="5">
        <v>2.9898705783957698E-2</v>
      </c>
      <c r="EN216" s="5">
        <v>0.24240411823138799</v>
      </c>
      <c r="EO216" s="5">
        <v>-0.102668537821391</v>
      </c>
      <c r="EP216" s="5">
        <v>7.8149807783804606E-2</v>
      </c>
      <c r="EQ216" s="5">
        <v>-0.10971997208803599</v>
      </c>
      <c r="ER216" s="5">
        <v>-1.50621112972686E-2</v>
      </c>
      <c r="ES216" s="5">
        <v>-4.45932003517443E-2</v>
      </c>
      <c r="ET216" s="5">
        <v>-3.2861634201918899E-2</v>
      </c>
      <c r="EU216" s="5">
        <v>-6.3762854276629699E-2</v>
      </c>
      <c r="EV216" s="5">
        <v>-9.6611081977051497E-2</v>
      </c>
      <c r="EW216" s="5">
        <v>-4.1033462373887698E-2</v>
      </c>
      <c r="EX216" s="5">
        <v>-9.9269819426352504E-2</v>
      </c>
      <c r="EY216" s="5">
        <v>1.7182623719107799E-2</v>
      </c>
      <c r="EZ216" s="5">
        <v>-2.9526995709735101E-2</v>
      </c>
      <c r="FA216" s="5">
        <v>-1.6938653152975498E-2</v>
      </c>
      <c r="FB216" s="5">
        <v>0.71203268231998695</v>
      </c>
      <c r="FC216" s="5">
        <v>-0.58604554439109602</v>
      </c>
      <c r="FD216" s="5">
        <v>0.13875973788142901</v>
      </c>
      <c r="FE216" s="5">
        <v>-0.16415329222480099</v>
      </c>
      <c r="FF216" s="5">
        <v>0.72994863500320994</v>
      </c>
      <c r="FG216" s="5">
        <v>-0.58626751363306795</v>
      </c>
      <c r="FH216" s="5">
        <v>-9.7984236573463099E-2</v>
      </c>
      <c r="FI216" s="5">
        <v>0.129587879422389</v>
      </c>
      <c r="FJ216" s="5">
        <v>0.100715850348918</v>
      </c>
      <c r="FK216" s="5">
        <v>-0.17156569203994401</v>
      </c>
      <c r="FL216" s="5">
        <v>0.57465236887507798</v>
      </c>
      <c r="FM216" s="5">
        <v>-0.28877031608766301</v>
      </c>
      <c r="FN216" s="5">
        <v>0.15691267869247399</v>
      </c>
      <c r="FO216" s="5">
        <v>-5.2388497462936098E-2</v>
      </c>
      <c r="FP216" s="5">
        <v>-9.3960519505862303E-2</v>
      </c>
      <c r="FQ216" s="5">
        <v>9.0178233362287405E-2</v>
      </c>
      <c r="FR216" s="5">
        <v>0.22219614415883099</v>
      </c>
      <c r="FS216" s="5">
        <v>8.9596131949709695E-2</v>
      </c>
      <c r="FT216" s="5">
        <v>-5.3972119650098002E-2</v>
      </c>
      <c r="FU216" s="5">
        <v>4.52535766370772E-2</v>
      </c>
      <c r="FV216" s="5">
        <v>0.61741972928214806</v>
      </c>
      <c r="FW216" s="5">
        <v>-0.52619682860822803</v>
      </c>
      <c r="FX216" s="5">
        <v>-6.0375371383289802E-3</v>
      </c>
      <c r="FY216" s="5">
        <v>-3.0797825209602898E-2</v>
      </c>
      <c r="FZ216" s="5">
        <v>2.17407579834567E-4</v>
      </c>
      <c r="GA216" s="5">
        <v>3.1455199830478699E-3</v>
      </c>
      <c r="GB216" s="5">
        <v>0.70916861839935896</v>
      </c>
      <c r="GC216" s="5">
        <v>-0.583230574933715</v>
      </c>
      <c r="GD216" s="5">
        <v>0.56844678322794295</v>
      </c>
      <c r="GE216" s="5">
        <v>-0.35817707420618</v>
      </c>
      <c r="GF216" s="5">
        <v>1.1009535351981E-3</v>
      </c>
      <c r="GG216" s="5">
        <v>-2.1117639666660401E-2</v>
      </c>
      <c r="GH216" s="5">
        <v>0.39908670846940097</v>
      </c>
      <c r="GI216" s="5">
        <v>-9.9928115317093905E-2</v>
      </c>
      <c r="GJ216" s="5">
        <v>-0.118978986166544</v>
      </c>
      <c r="GK216" s="5">
        <v>2.6312308762244101E-2</v>
      </c>
      <c r="GL216" s="5">
        <v>0.13042439892966601</v>
      </c>
      <c r="GM216" s="5">
        <v>-0.15502253306653799</v>
      </c>
      <c r="GN216" s="5">
        <v>0.690313930566543</v>
      </c>
      <c r="GO216" s="5">
        <v>-0.59714333553167198</v>
      </c>
      <c r="GP216" s="5">
        <v>-0.142560034002741</v>
      </c>
      <c r="GQ216" s="5">
        <v>5.7454488904422001E-2</v>
      </c>
      <c r="GR216" s="5">
        <v>-1.5127202965633E-2</v>
      </c>
      <c r="GS216" s="5">
        <v>-2.7525686290267099E-2</v>
      </c>
      <c r="GT216" s="5">
        <v>0.18071471706392001</v>
      </c>
      <c r="GU216" s="5">
        <v>-7.9688263685289192E-3</v>
      </c>
      <c r="GV216" s="5">
        <v>0.20543638455020599</v>
      </c>
      <c r="GW216" s="5">
        <v>-0.19928176849541901</v>
      </c>
      <c r="GX216" s="5">
        <v>-3.3012874434027702E-3</v>
      </c>
      <c r="GY216" s="5">
        <v>-5.1217639480056101E-2</v>
      </c>
      <c r="GZ216" s="5">
        <v>0.78460821772345202</v>
      </c>
      <c r="HA216" s="5">
        <v>-0.63243537454759702</v>
      </c>
      <c r="HB216" s="5">
        <v>-1.09618759197243E-2</v>
      </c>
      <c r="HC216" s="5">
        <v>-7.7619570443319505E-2</v>
      </c>
      <c r="HD216" s="5">
        <v>0.42082068659687999</v>
      </c>
      <c r="HE216" s="5">
        <v>-0.11285426432494</v>
      </c>
      <c r="HF216" s="5">
        <v>0.66118585307195699</v>
      </c>
      <c r="HG216" s="5">
        <v>-0.49092156416024901</v>
      </c>
      <c r="HH216" s="5">
        <v>1</v>
      </c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</row>
    <row r="217" spans="1:389" x14ac:dyDescent="0.45">
      <c r="A217" s="4" t="str">
        <f ca="1">"LUX / beta2dist in "&amp;CELL("address",'damages-1990'!$K$109)</f>
        <v>LUX / beta2dist in '[BHM betas v3pd.xlsx]damages-1990'!$K$109</v>
      </c>
      <c r="B217" s="6">
        <v>-0.108837968813583</v>
      </c>
      <c r="C217" s="5">
        <v>0.120516329506876</v>
      </c>
      <c r="D217" s="5">
        <v>-5.7693369502671697E-2</v>
      </c>
      <c r="E217" s="5">
        <v>0.197512911317755</v>
      </c>
      <c r="F217" s="5">
        <v>-0.377421419274105</v>
      </c>
      <c r="G217" s="5">
        <v>0.46829846771724398</v>
      </c>
      <c r="H217" s="5">
        <v>-0.68938064099121399</v>
      </c>
      <c r="I217" s="5">
        <v>0.69869004900832399</v>
      </c>
      <c r="J217" s="5">
        <v>0.202263809225319</v>
      </c>
      <c r="K217" s="5">
        <v>-4.2221320358979603E-2</v>
      </c>
      <c r="L217" s="5">
        <v>5.1555940897570398E-3</v>
      </c>
      <c r="M217" s="5">
        <v>-1.23702376630549E-2</v>
      </c>
      <c r="N217" s="5">
        <v>-0.31088722580220401</v>
      </c>
      <c r="O217" s="5">
        <v>0.24880807850174699</v>
      </c>
      <c r="P217" s="5">
        <v>-9.3556938183893795E-2</v>
      </c>
      <c r="Q217" s="5">
        <v>0.17845794890201899</v>
      </c>
      <c r="R217" s="5">
        <v>9.6686804930900705E-2</v>
      </c>
      <c r="S217" s="5">
        <v>8.30124221665893E-2</v>
      </c>
      <c r="T217" s="5">
        <v>-0.72490241786763199</v>
      </c>
      <c r="U217" s="5">
        <v>0.75134290094363698</v>
      </c>
      <c r="V217" s="5">
        <v>-0.13891882101673</v>
      </c>
      <c r="W217" s="5">
        <v>0.17803012997510001</v>
      </c>
      <c r="X217" s="5">
        <v>-7.1397753040749398E-2</v>
      </c>
      <c r="Y217" s="5">
        <v>0.18129250633803701</v>
      </c>
      <c r="Z217" s="5">
        <v>-0.78560168526826901</v>
      </c>
      <c r="AA217" s="5">
        <v>0.89802864403383298</v>
      </c>
      <c r="AB217" s="5">
        <v>-0.10411805617874199</v>
      </c>
      <c r="AC217" s="5">
        <v>0.14704913016826399</v>
      </c>
      <c r="AD217" s="5">
        <v>-9.9625965809506001E-2</v>
      </c>
      <c r="AE217" s="5">
        <v>0.14150801390158901</v>
      </c>
      <c r="AF217" s="5">
        <v>0.21498606006955001</v>
      </c>
      <c r="AG217" s="5">
        <v>-6.1671781155834202E-2</v>
      </c>
      <c r="AH217" s="5">
        <v>-0.41432580740771102</v>
      </c>
      <c r="AI217" s="5">
        <v>0.49316282279439699</v>
      </c>
      <c r="AJ217" s="5">
        <v>0.296075097471518</v>
      </c>
      <c r="AK217" s="5">
        <v>-0.104056552834799</v>
      </c>
      <c r="AL217" s="5">
        <v>0.19938239653113199</v>
      </c>
      <c r="AM217" s="5">
        <v>-0.13391800875778601</v>
      </c>
      <c r="AN217" s="5">
        <v>-0.58257395634018505</v>
      </c>
      <c r="AO217" s="5">
        <v>0.64833499029758201</v>
      </c>
      <c r="AP217" s="5">
        <v>-0.56480735975365604</v>
      </c>
      <c r="AQ217" s="5">
        <v>0.55226700790564798</v>
      </c>
      <c r="AR217" s="5">
        <v>0.16726703043725899</v>
      </c>
      <c r="AS217" s="5">
        <v>-4.0183013828311402E-2</v>
      </c>
      <c r="AT217" s="5">
        <v>0.35217092517173598</v>
      </c>
      <c r="AU217" s="5">
        <v>-0.29617419154020402</v>
      </c>
      <c r="AV217" s="5">
        <v>0.199973692611568</v>
      </c>
      <c r="AW217" s="5">
        <v>-1.31667512503539E-2</v>
      </c>
      <c r="AX217" s="5">
        <v>0.19303571089871799</v>
      </c>
      <c r="AY217" s="5">
        <v>3.2573359885610102E-2</v>
      </c>
      <c r="AZ217" s="5">
        <v>-8.3768408265582194E-3</v>
      </c>
      <c r="BA217" s="5">
        <v>6.2153681404139197E-2</v>
      </c>
      <c r="BB217" s="5">
        <v>4.2012337628979997E-2</v>
      </c>
      <c r="BC217" s="5">
        <v>0.12703235991721601</v>
      </c>
      <c r="BD217" s="5">
        <v>-0.27198951501623603</v>
      </c>
      <c r="BE217" s="5">
        <v>0.28208816817879001</v>
      </c>
      <c r="BF217" s="5">
        <v>-2.59488822571056E-2</v>
      </c>
      <c r="BG217" s="5">
        <v>0.19668794301190401</v>
      </c>
      <c r="BH217" s="5">
        <v>-1.5793667135085999E-2</v>
      </c>
      <c r="BI217" s="5">
        <v>0.10824508195346701</v>
      </c>
      <c r="BJ217" s="5">
        <v>-0.39355508043646398</v>
      </c>
      <c r="BK217" s="5">
        <v>0.194149954005126</v>
      </c>
      <c r="BL217" s="5">
        <v>-0.74306830625895404</v>
      </c>
      <c r="BM217" s="5">
        <v>0.76383069510016599</v>
      </c>
      <c r="BN217" s="5">
        <v>-0.29977402880185999</v>
      </c>
      <c r="BO217" s="5">
        <v>0.23073714385650801</v>
      </c>
      <c r="BP217" s="5">
        <v>-0.44597925751501</v>
      </c>
      <c r="BQ217" s="5">
        <v>0.437748661854093</v>
      </c>
      <c r="BR217" s="5">
        <v>-0.13734693226240999</v>
      </c>
      <c r="BS217" s="5">
        <v>0.15384876938588199</v>
      </c>
      <c r="BT217" s="5">
        <v>2.67979224646623E-2</v>
      </c>
      <c r="BU217" s="5">
        <v>9.0145319385476E-2</v>
      </c>
      <c r="BV217" s="5">
        <v>-2.9323051038658302E-2</v>
      </c>
      <c r="BW217" s="5">
        <v>0.14709355915912301</v>
      </c>
      <c r="BX217" s="5">
        <v>-5.2266944135855198E-2</v>
      </c>
      <c r="BY217" s="5">
        <v>0.14276189193407299</v>
      </c>
      <c r="BZ217" s="5">
        <v>7.4423643872782996E-2</v>
      </c>
      <c r="CA217" s="5">
        <v>8.3428514023401498E-2</v>
      </c>
      <c r="CB217" s="5">
        <v>2.1226575473837401E-2</v>
      </c>
      <c r="CC217" s="5">
        <v>0.10213883215738501</v>
      </c>
      <c r="CD217" s="5">
        <v>2.4197268232295399E-2</v>
      </c>
      <c r="CE217" s="5">
        <v>5.6850164775339801E-2</v>
      </c>
      <c r="CF217" s="5">
        <v>0.10755958093602599</v>
      </c>
      <c r="CG217" s="5">
        <v>-7.9443876558226902E-3</v>
      </c>
      <c r="CH217" s="5">
        <v>0.12653371286461099</v>
      </c>
      <c r="CI217" s="5">
        <v>-6.6561134594979698E-2</v>
      </c>
      <c r="CJ217" s="5">
        <v>0.23841647933760499</v>
      </c>
      <c r="CK217" s="5">
        <v>-0.15066479731084101</v>
      </c>
      <c r="CL217" s="5">
        <v>-0.73386879995111898</v>
      </c>
      <c r="CM217" s="5">
        <v>0.79524274561721797</v>
      </c>
      <c r="CN217" s="5">
        <v>-0.77779012837541694</v>
      </c>
      <c r="CO217" s="5">
        <v>0.87430004513271498</v>
      </c>
      <c r="CP217" s="5">
        <v>0.102900445846089</v>
      </c>
      <c r="CQ217" s="5">
        <v>-5.4234037041949901E-2</v>
      </c>
      <c r="CR217" s="5">
        <v>-8.7079817844034596E-2</v>
      </c>
      <c r="CS217" s="5">
        <v>0.147516977103019</v>
      </c>
      <c r="CT217" s="5">
        <v>-0.71383479681017203</v>
      </c>
      <c r="CU217" s="5">
        <v>0.72112516253390202</v>
      </c>
      <c r="CV217" s="5">
        <v>-0.19339069713402299</v>
      </c>
      <c r="CW217" s="5">
        <v>0.27214098425778199</v>
      </c>
      <c r="CX217" s="5">
        <v>0.14605734988719399</v>
      </c>
      <c r="CY217" s="5">
        <v>6.7903319590985403E-3</v>
      </c>
      <c r="CZ217" s="5">
        <v>-6.9242804067616397E-3</v>
      </c>
      <c r="DA217" s="5">
        <v>0.18230179445932199</v>
      </c>
      <c r="DB217" s="5">
        <v>0.19973251155765201</v>
      </c>
      <c r="DC217" s="5">
        <v>1.6279392857501199E-2</v>
      </c>
      <c r="DD217" s="5">
        <v>3.1879548645402003E-2</v>
      </c>
      <c r="DE217" s="5">
        <v>2.2849036390129002E-2</v>
      </c>
      <c r="DF217" s="5">
        <v>0.27957800942829297</v>
      </c>
      <c r="DG217" s="5">
        <v>-0.19327984353003</v>
      </c>
      <c r="DH217" s="5">
        <v>-0.21264515700851599</v>
      </c>
      <c r="DI217" s="5">
        <v>0.30377584288731702</v>
      </c>
      <c r="DJ217" s="5">
        <v>-0.53329647769013799</v>
      </c>
      <c r="DK217" s="5">
        <v>0.51128152707249697</v>
      </c>
      <c r="DL217" s="5">
        <v>3.2541252415843103E-2</v>
      </c>
      <c r="DM217" s="5">
        <v>1.8938054655353202E-2</v>
      </c>
      <c r="DN217" s="5">
        <v>-0.54515872301972801</v>
      </c>
      <c r="DO217" s="5">
        <v>0.50200689180541003</v>
      </c>
      <c r="DP217" s="5">
        <v>0.111389798703215</v>
      </c>
      <c r="DQ217" s="5">
        <v>-6.88994549425649E-2</v>
      </c>
      <c r="DR217" s="5">
        <v>-0.65867175630525898</v>
      </c>
      <c r="DS217" s="5">
        <v>0.82410105423215596</v>
      </c>
      <c r="DT217" s="5">
        <v>0.236353361719917</v>
      </c>
      <c r="DU217" s="5">
        <v>-0.199344382987622</v>
      </c>
      <c r="DV217" s="5">
        <v>-0.180978276328149</v>
      </c>
      <c r="DW217" s="5">
        <v>0.26074281542232702</v>
      </c>
      <c r="DX217" s="5">
        <v>-0.67090913267761898</v>
      </c>
      <c r="DY217" s="5">
        <v>0.66162045726102503</v>
      </c>
      <c r="DZ217" s="5">
        <v>-0.36531608664783699</v>
      </c>
      <c r="EA217" s="5">
        <v>0.34579896434955798</v>
      </c>
      <c r="EB217" s="5">
        <v>-4.95734799925572E-2</v>
      </c>
      <c r="EC217" s="5">
        <v>0.110522620457405</v>
      </c>
      <c r="ED217" s="5">
        <v>-8.9069160625005195E-2</v>
      </c>
      <c r="EE217" s="5">
        <v>0.14870099129457601</v>
      </c>
      <c r="EF217" s="5">
        <v>-0.104009381746028</v>
      </c>
      <c r="EG217" s="5">
        <v>0.169827242072216</v>
      </c>
      <c r="EH217" s="5">
        <v>9.6605348570171501E-2</v>
      </c>
      <c r="EI217" s="5">
        <v>8.3520069557798896E-3</v>
      </c>
      <c r="EJ217" s="5">
        <v>5.9758012501581803E-2</v>
      </c>
      <c r="EK217" s="5">
        <v>5.8969627322581299E-2</v>
      </c>
      <c r="EL217" s="5">
        <v>0.117018108683244</v>
      </c>
      <c r="EM217" s="5">
        <v>-5.4716565836691197E-2</v>
      </c>
      <c r="EN217" s="5">
        <v>3.03016584875891E-3</v>
      </c>
      <c r="EO217" s="5">
        <v>4.63869062035379E-2</v>
      </c>
      <c r="EP217" s="5">
        <v>-6.8436825348508604E-2</v>
      </c>
      <c r="EQ217" s="5">
        <v>0.142884449268947</v>
      </c>
      <c r="ER217" s="5">
        <v>0.104250023457734</v>
      </c>
      <c r="ES217" s="5">
        <v>5.0720487274736999E-2</v>
      </c>
      <c r="ET217" s="5">
        <v>8.8049614608613394E-2</v>
      </c>
      <c r="EU217" s="5">
        <v>7.5459558154439402E-2</v>
      </c>
      <c r="EV217" s="5">
        <v>0.163512022321915</v>
      </c>
      <c r="EW217" s="5">
        <v>4.4045918218580102E-2</v>
      </c>
      <c r="EX217" s="5">
        <v>0.19744987791287499</v>
      </c>
      <c r="EY217" s="5">
        <v>-2.7006857151028602E-2</v>
      </c>
      <c r="EZ217" s="5">
        <v>0.10321061705428</v>
      </c>
      <c r="FA217" s="5">
        <v>2.9292886176130399E-2</v>
      </c>
      <c r="FB217" s="5">
        <v>-0.49454901757787501</v>
      </c>
      <c r="FC217" s="5">
        <v>0.60371888884615899</v>
      </c>
      <c r="FD217" s="5">
        <v>-0.109471263538592</v>
      </c>
      <c r="FE217" s="5">
        <v>0.193757523688246</v>
      </c>
      <c r="FF217" s="5">
        <v>-0.54567512713719801</v>
      </c>
      <c r="FG217" s="5">
        <v>0.63396223771057603</v>
      </c>
      <c r="FH217" s="5">
        <v>0.205222060648028</v>
      </c>
      <c r="FI217" s="5">
        <v>-0.19803049782631399</v>
      </c>
      <c r="FJ217" s="5">
        <v>-1.9922960239862599E-2</v>
      </c>
      <c r="FK217" s="5">
        <v>0.201668456680096</v>
      </c>
      <c r="FL217" s="5">
        <v>-0.42304178055818398</v>
      </c>
      <c r="FM217" s="5">
        <v>0.31963150217822001</v>
      </c>
      <c r="FN217" s="5">
        <v>5.7061939742193098E-2</v>
      </c>
      <c r="FO217" s="5">
        <v>3.4332182384560202E-3</v>
      </c>
      <c r="FP217" s="5">
        <v>0.26391882650438397</v>
      </c>
      <c r="FQ217" s="5">
        <v>-0.158720747832343</v>
      </c>
      <c r="FR217" s="5">
        <v>-0.12902435040318</v>
      </c>
      <c r="FS217" s="5">
        <v>-0.117358052201091</v>
      </c>
      <c r="FT217" s="5">
        <v>0.25656925556931898</v>
      </c>
      <c r="FU217" s="5">
        <v>-0.111470742728874</v>
      </c>
      <c r="FV217" s="5">
        <v>-0.35183566053767701</v>
      </c>
      <c r="FW217" s="5">
        <v>0.47553769334445001</v>
      </c>
      <c r="FX217" s="5">
        <v>8.3355785496799895E-2</v>
      </c>
      <c r="FY217" s="5">
        <v>1.2189464084685599E-2</v>
      </c>
      <c r="FZ217" s="5">
        <v>0.21073951304782601</v>
      </c>
      <c r="GA217" s="5">
        <v>-6.66211136344977E-2</v>
      </c>
      <c r="GB217" s="5">
        <v>-0.48331598815127502</v>
      </c>
      <c r="GC217" s="5">
        <v>0.60789095667231496</v>
      </c>
      <c r="GD217" s="5">
        <v>-0.46894407647222103</v>
      </c>
      <c r="GE217" s="5">
        <v>0.429843306689076</v>
      </c>
      <c r="GF217" s="5">
        <v>9.6925835259110804E-2</v>
      </c>
      <c r="GG217" s="5">
        <v>1.1641989420200701E-2</v>
      </c>
      <c r="GH217" s="5">
        <v>-0.25556237326947101</v>
      </c>
      <c r="GI217" s="5">
        <v>7.2073222197871503E-2</v>
      </c>
      <c r="GJ217" s="5">
        <v>0.18457050577901701</v>
      </c>
      <c r="GK217" s="5">
        <v>-3.8076426135616903E-2</v>
      </c>
      <c r="GL217" s="5">
        <v>-0.130370825773861</v>
      </c>
      <c r="GM217" s="5">
        <v>0.201896865892707</v>
      </c>
      <c r="GN217" s="5">
        <v>-0.42318220102359999</v>
      </c>
      <c r="GO217" s="5">
        <v>0.55806773559063405</v>
      </c>
      <c r="GP217" s="5">
        <v>0.27298725069240898</v>
      </c>
      <c r="GQ217" s="5">
        <v>-0.101964816014607</v>
      </c>
      <c r="GR217" s="5">
        <v>0.10091871415886899</v>
      </c>
      <c r="GS217" s="5">
        <v>1.8536027573294901E-2</v>
      </c>
      <c r="GT217" s="5">
        <v>7.6938258390844005E-2</v>
      </c>
      <c r="GU217" s="5">
        <v>-6.13421867473447E-2</v>
      </c>
      <c r="GV217" s="5">
        <v>-0.18112412607245801</v>
      </c>
      <c r="GW217" s="5">
        <v>0.23270020987891499</v>
      </c>
      <c r="GX217" s="5">
        <v>0.12238208617997</v>
      </c>
      <c r="GY217" s="5">
        <v>3.2168318766162399E-2</v>
      </c>
      <c r="GZ217" s="5">
        <v>-0.74091691256097902</v>
      </c>
      <c r="HA217" s="5">
        <v>0.76386724994080202</v>
      </c>
      <c r="HB217" s="5">
        <v>8.9168994624897094E-2</v>
      </c>
      <c r="HC217" s="5">
        <v>7.4325217817632502E-2</v>
      </c>
      <c r="HD217" s="5">
        <v>-9.8473738511609399E-2</v>
      </c>
      <c r="HE217" s="5">
        <v>1.6399720526940002E-2</v>
      </c>
      <c r="HF217" s="5">
        <v>-0.587587742753368</v>
      </c>
      <c r="HG217" s="5">
        <v>0.57758531319221296</v>
      </c>
      <c r="HH217" s="5">
        <v>-0.88233119343828903</v>
      </c>
      <c r="HI217" s="5">
        <v>1</v>
      </c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</row>
    <row r="218" spans="1:389" x14ac:dyDescent="0.45">
      <c r="A218" s="4" t="str">
        <f ca="1">"LVA / beta1dist in "&amp;CELL("address",'damages-1990'!$J$110)</f>
        <v>LVA / beta1dist in '[BHM betas v3pd.xlsx]damages-1990'!$J$110</v>
      </c>
      <c r="B218" s="6">
        <v>0.23610872932549001</v>
      </c>
      <c r="C218" s="5">
        <v>-0.24105210379977199</v>
      </c>
      <c r="D218" s="5">
        <v>4.5698393691648999E-2</v>
      </c>
      <c r="E218" s="5">
        <v>-0.24802135279971499</v>
      </c>
      <c r="F218" s="5">
        <v>0.35308367006742403</v>
      </c>
      <c r="G218" s="5">
        <v>-0.33179052106399298</v>
      </c>
      <c r="H218" s="5">
        <v>0.51745817733198696</v>
      </c>
      <c r="I218" s="5">
        <v>-0.37145201555190899</v>
      </c>
      <c r="J218" s="5">
        <v>-0.130545031336567</v>
      </c>
      <c r="K218" s="5">
        <v>-8.6575794381805099E-2</v>
      </c>
      <c r="L218" s="5">
        <v>0.11068217188566</v>
      </c>
      <c r="M218" s="5">
        <v>-8.0523287036909794E-2</v>
      </c>
      <c r="N218" s="5">
        <v>0.19869739484690399</v>
      </c>
      <c r="O218" s="5">
        <v>5.10996334166091E-2</v>
      </c>
      <c r="P218" s="5">
        <v>-6.5682169474039306E-2</v>
      </c>
      <c r="Q218" s="5">
        <v>-0.102162612529938</v>
      </c>
      <c r="R218" s="5">
        <v>-0.129745029245736</v>
      </c>
      <c r="S218" s="5">
        <v>-5.8194922794741699E-2</v>
      </c>
      <c r="T218" s="5">
        <v>0.62091893391865804</v>
      </c>
      <c r="U218" s="5">
        <v>-0.50771533790558798</v>
      </c>
      <c r="V218" s="5">
        <v>0.24238893648395299</v>
      </c>
      <c r="W218" s="5">
        <v>-0.239694358691383</v>
      </c>
      <c r="X218" s="5">
        <v>1.3938092645989201E-2</v>
      </c>
      <c r="Y218" s="5">
        <v>-0.16389168955875899</v>
      </c>
      <c r="Z218" s="5">
        <v>0.61677858817714504</v>
      </c>
      <c r="AA218" s="5">
        <v>-0.57376081231416698</v>
      </c>
      <c r="AB218" s="5">
        <v>6.57695672575761E-2</v>
      </c>
      <c r="AC218" s="5">
        <v>-0.17535836600664301</v>
      </c>
      <c r="AD218" s="5">
        <v>0.120186314864244</v>
      </c>
      <c r="AE218" s="5">
        <v>-0.22574667371089799</v>
      </c>
      <c r="AF218" s="5">
        <v>-0.159562652928602</v>
      </c>
      <c r="AG218" s="5">
        <v>-3.8760581848662802E-2</v>
      </c>
      <c r="AH218" s="5">
        <v>0.44112783647049703</v>
      </c>
      <c r="AI218" s="5">
        <v>-0.40775858547522897</v>
      </c>
      <c r="AJ218" s="5">
        <v>-0.23381790702404401</v>
      </c>
      <c r="AK218" s="5">
        <v>-3.1888113884180502E-2</v>
      </c>
      <c r="AL218" s="5">
        <v>-0.32976928988250698</v>
      </c>
      <c r="AM218" s="5">
        <v>0.23869951623199301</v>
      </c>
      <c r="AN218" s="5">
        <v>0.513352846330974</v>
      </c>
      <c r="AO218" s="5">
        <v>-0.43139575994070201</v>
      </c>
      <c r="AP218" s="5">
        <v>0.88330011576615197</v>
      </c>
      <c r="AQ218" s="5">
        <v>-0.82154891344185399</v>
      </c>
      <c r="AR218" s="5">
        <v>-0.139893007442739</v>
      </c>
      <c r="AS218" s="5">
        <v>-4.5222115400800497E-2</v>
      </c>
      <c r="AT218" s="5">
        <v>-0.42318577111557498</v>
      </c>
      <c r="AU218" s="5">
        <v>0.33997506915827602</v>
      </c>
      <c r="AV218" s="5">
        <v>-0.20502582801603</v>
      </c>
      <c r="AW218" s="5">
        <v>-7.7449612119938503E-3</v>
      </c>
      <c r="AX218" s="5">
        <v>-0.249067169729908</v>
      </c>
      <c r="AY218" s="5">
        <v>1.7818251358544899E-2</v>
      </c>
      <c r="AZ218" s="5">
        <v>-7.3048948372853806E-2</v>
      </c>
      <c r="BA218" s="5">
        <v>-8.7790918114598299E-2</v>
      </c>
      <c r="BB218" s="5">
        <v>-2.38203500035933E-2</v>
      </c>
      <c r="BC218" s="5">
        <v>-0.243034157460675</v>
      </c>
      <c r="BD218" s="5">
        <v>0.43856387851132</v>
      </c>
      <c r="BE218" s="5">
        <v>-0.438325513564844</v>
      </c>
      <c r="BF218" s="5">
        <v>3.5837953389070698E-2</v>
      </c>
      <c r="BG218" s="5">
        <v>-0.24218659296842501</v>
      </c>
      <c r="BH218" s="5">
        <v>-5.63490270126158E-2</v>
      </c>
      <c r="BI218" s="5">
        <v>-0.103082981969064</v>
      </c>
      <c r="BJ218" s="5">
        <v>0.54835672916979405</v>
      </c>
      <c r="BK218" s="5">
        <v>-0.28117988517584103</v>
      </c>
      <c r="BL218" s="5">
        <v>0.54924043371199605</v>
      </c>
      <c r="BM218" s="5">
        <v>-0.41252257043537299</v>
      </c>
      <c r="BN218" s="5">
        <v>0.352336207629179</v>
      </c>
      <c r="BO218" s="5">
        <v>-0.148922808803959</v>
      </c>
      <c r="BP218" s="5">
        <v>0.60748805940052297</v>
      </c>
      <c r="BQ218" s="5">
        <v>-0.51042893351520002</v>
      </c>
      <c r="BR218" s="5">
        <v>0.128005522639215</v>
      </c>
      <c r="BS218" s="5">
        <v>-0.216877174788142</v>
      </c>
      <c r="BT218" s="5">
        <v>-5.84237339730799E-2</v>
      </c>
      <c r="BU218" s="5">
        <v>-0.13336981076085</v>
      </c>
      <c r="BV218" s="5">
        <v>-4.7747726093127904E-3</v>
      </c>
      <c r="BW218" s="5">
        <v>-0.181684515199459</v>
      </c>
      <c r="BX218" s="5">
        <v>2.95933121018182E-2</v>
      </c>
      <c r="BY218" s="5">
        <v>-0.19166668127929401</v>
      </c>
      <c r="BZ218" s="5">
        <v>-8.96177344049226E-2</v>
      </c>
      <c r="CA218" s="5">
        <v>-8.6883126935778293E-2</v>
      </c>
      <c r="CB218" s="5">
        <v>-0.15813880439421099</v>
      </c>
      <c r="CC218" s="5">
        <v>1.11189784562575E-2</v>
      </c>
      <c r="CD218" s="5">
        <v>-0.12594250507972801</v>
      </c>
      <c r="CE218" s="5">
        <v>2.42211680570017E-2</v>
      </c>
      <c r="CF218" s="5">
        <v>-0.14551398180454</v>
      </c>
      <c r="CG218" s="5">
        <v>9.3832947557667204E-3</v>
      </c>
      <c r="CH218" s="5">
        <v>-0.30103064745571501</v>
      </c>
      <c r="CI218" s="5">
        <v>0.203862833066838</v>
      </c>
      <c r="CJ218" s="5">
        <v>-8.7989258978048601E-2</v>
      </c>
      <c r="CK218" s="5">
        <v>-4.03904382107097E-2</v>
      </c>
      <c r="CL218" s="5">
        <v>0.68188663530940197</v>
      </c>
      <c r="CM218" s="5">
        <v>-0.60535821611177598</v>
      </c>
      <c r="CN218" s="5">
        <v>0.71499928766838505</v>
      </c>
      <c r="CO218" s="5">
        <v>-0.66968783851017599</v>
      </c>
      <c r="CP218" s="5">
        <v>3.1995371414047902E-2</v>
      </c>
      <c r="CQ218" s="5">
        <v>-0.109086662263921</v>
      </c>
      <c r="CR218" s="5">
        <v>-7.1423437158247297E-2</v>
      </c>
      <c r="CS218" s="5">
        <v>-8.0644521539251196E-2</v>
      </c>
      <c r="CT218" s="5">
        <v>0.78979046726792501</v>
      </c>
      <c r="CU218" s="5">
        <v>-0.73250794164268695</v>
      </c>
      <c r="CV218" s="5">
        <v>7.0175394184978604E-2</v>
      </c>
      <c r="CW218" s="5">
        <v>-0.21683226823450399</v>
      </c>
      <c r="CX218" s="5">
        <v>4.45934272174363E-3</v>
      </c>
      <c r="CY218" s="5">
        <v>-0.231514359131265</v>
      </c>
      <c r="CZ218" s="5">
        <v>-7.3183656003323799E-2</v>
      </c>
      <c r="DA218" s="5">
        <v>-9.3621470196969703E-2</v>
      </c>
      <c r="DB218" s="5">
        <v>-7.7319991839503902E-2</v>
      </c>
      <c r="DC218" s="5">
        <v>-0.247821787381103</v>
      </c>
      <c r="DD218" s="5">
        <v>4.9825099906860702E-2</v>
      </c>
      <c r="DE218" s="5">
        <v>-0.14257670056185001</v>
      </c>
      <c r="DF218" s="5">
        <v>-0.293779260599348</v>
      </c>
      <c r="DG218" s="5">
        <v>0.17192169635910801</v>
      </c>
      <c r="DH218" s="5">
        <v>0.24422406701232599</v>
      </c>
      <c r="DI218" s="5">
        <v>-0.28378366744303501</v>
      </c>
      <c r="DJ218" s="5">
        <v>0.90836920557951595</v>
      </c>
      <c r="DK218" s="5">
        <v>-0.83401835163279203</v>
      </c>
      <c r="DL218" s="5">
        <v>-2.8313134196435E-2</v>
      </c>
      <c r="DM218" s="5">
        <v>-9.4004236310424705E-2</v>
      </c>
      <c r="DN218" s="5">
        <v>0.83531821824340402</v>
      </c>
      <c r="DO218" s="5">
        <v>-0.73379078929970598</v>
      </c>
      <c r="DP218" s="5">
        <v>4.19007536032482E-3</v>
      </c>
      <c r="DQ218" s="5">
        <v>-8.7965901233462304E-2</v>
      </c>
      <c r="DR218" s="5">
        <v>0.50076248668023804</v>
      </c>
      <c r="DS218" s="5">
        <v>-0.49015020598228498</v>
      </c>
      <c r="DT218" s="5">
        <v>-8.3578818364827903E-2</v>
      </c>
      <c r="DU218" s="5">
        <v>1.20584256482913E-2</v>
      </c>
      <c r="DV218" s="5">
        <v>7.7698783481192801E-2</v>
      </c>
      <c r="DW218" s="5">
        <v>-0.20324308128449101</v>
      </c>
      <c r="DX218" s="5">
        <v>0.65129966272647999</v>
      </c>
      <c r="DY218" s="5">
        <v>-0.56630428051402004</v>
      </c>
      <c r="DZ218" s="5">
        <v>0.31856809521235901</v>
      </c>
      <c r="EA218" s="5">
        <v>-0.115638873601058</v>
      </c>
      <c r="EB218" s="5">
        <v>5.4750419968056303E-2</v>
      </c>
      <c r="EC218" s="5">
        <v>-0.18056042147918</v>
      </c>
      <c r="ED218" s="5">
        <v>8.1820759112851194E-2</v>
      </c>
      <c r="EE218" s="5">
        <v>-0.20880994395876201</v>
      </c>
      <c r="EF218" s="5">
        <v>-5.1983876486690402E-2</v>
      </c>
      <c r="EG218" s="5">
        <v>-9.87774685389642E-2</v>
      </c>
      <c r="EH218" s="5">
        <v>-3.9851924911863901E-2</v>
      </c>
      <c r="EI218" s="5">
        <v>-0.14523785560696201</v>
      </c>
      <c r="EJ218" s="5">
        <v>1.06628256518403E-2</v>
      </c>
      <c r="EK218" s="5">
        <v>-0.19105012930301701</v>
      </c>
      <c r="EL218" s="5">
        <v>-0.19819140052141701</v>
      </c>
      <c r="EM218" s="5">
        <v>7.1413777700330305E-2</v>
      </c>
      <c r="EN218" s="5">
        <v>9.6537265295560101E-2</v>
      </c>
      <c r="EO218" s="5">
        <v>-0.107195135505066</v>
      </c>
      <c r="EP218" s="5">
        <v>-7.6432298328685394E-2</v>
      </c>
      <c r="EQ218" s="5">
        <v>-9.4597603531145699E-2</v>
      </c>
      <c r="ER218" s="5">
        <v>-0.101815485843246</v>
      </c>
      <c r="ES218" s="5">
        <v>-7.6438957182913603E-2</v>
      </c>
      <c r="ET218" s="5">
        <v>-0.21740005208270199</v>
      </c>
      <c r="EU218" s="5">
        <v>1.4151820086950701E-2</v>
      </c>
      <c r="EV218" s="5">
        <v>-0.1955718149731</v>
      </c>
      <c r="EW218" s="5">
        <v>-5.9341947842297002E-2</v>
      </c>
      <c r="EX218" s="5">
        <v>-0.2576494699429</v>
      </c>
      <c r="EY218" s="5">
        <v>3.29586604598179E-2</v>
      </c>
      <c r="EZ218" s="5">
        <v>-4.8494869825784E-2</v>
      </c>
      <c r="FA218" s="5">
        <v>-0.152215513289088</v>
      </c>
      <c r="FB218" s="5">
        <v>0.42919572146836599</v>
      </c>
      <c r="FC218" s="5">
        <v>-0.40479722490226799</v>
      </c>
      <c r="FD218" s="5">
        <v>-3.3463816789222299E-2</v>
      </c>
      <c r="FE218" s="5">
        <v>-0.11430952506068499</v>
      </c>
      <c r="FF218" s="5">
        <v>0.53394163331188704</v>
      </c>
      <c r="FG218" s="5">
        <v>-0.50308866643448602</v>
      </c>
      <c r="FH218" s="5">
        <v>-0.23986906107016001</v>
      </c>
      <c r="FI218" s="5">
        <v>0.15072818498052501</v>
      </c>
      <c r="FJ218" s="5">
        <v>-6.2696446517905097E-2</v>
      </c>
      <c r="FK218" s="5">
        <v>-0.139024991082945</v>
      </c>
      <c r="FL218" s="5">
        <v>0.50709812108264196</v>
      </c>
      <c r="FM218" s="5">
        <v>-0.362846136494612</v>
      </c>
      <c r="FN218" s="5">
        <v>0.159597268575563</v>
      </c>
      <c r="FO218" s="5">
        <v>-0.257585269284069</v>
      </c>
      <c r="FP218" s="5">
        <v>-3.3230037762776797E-2</v>
      </c>
      <c r="FQ218" s="5">
        <v>-0.184467088223847</v>
      </c>
      <c r="FR218" s="5">
        <v>0.14439213605684001</v>
      </c>
      <c r="FS218" s="5">
        <v>9.1620510366835703E-2</v>
      </c>
      <c r="FT218" s="5">
        <v>-1.37846973106741E-2</v>
      </c>
      <c r="FU218" s="5">
        <v>-0.245452405734365</v>
      </c>
      <c r="FV218" s="5">
        <v>0.31659325539320499</v>
      </c>
      <c r="FW218" s="5">
        <v>-0.33763338928951098</v>
      </c>
      <c r="FX218" s="5">
        <v>-0.17124410115909799</v>
      </c>
      <c r="FY218" s="5">
        <v>1.0363253324895801E-2</v>
      </c>
      <c r="FZ218" s="5">
        <v>2.98110435085206E-2</v>
      </c>
      <c r="GA218" s="5">
        <v>-0.30065953215011698</v>
      </c>
      <c r="GB218" s="5">
        <v>0.52412133328673505</v>
      </c>
      <c r="GC218" s="5">
        <v>-0.54843136490560196</v>
      </c>
      <c r="GD218" s="5">
        <v>0.65463549416684297</v>
      </c>
      <c r="GE218" s="5">
        <v>-0.56448058417007196</v>
      </c>
      <c r="GF218" s="5">
        <v>-0.212430949002022</v>
      </c>
      <c r="GG218" s="5">
        <v>2.97540255091127E-2</v>
      </c>
      <c r="GH218" s="5">
        <v>0.24686457602217901</v>
      </c>
      <c r="GI218" s="5">
        <v>5.61238775983047E-2</v>
      </c>
      <c r="GJ218" s="5">
        <v>-0.243445422039691</v>
      </c>
      <c r="GK218" s="5">
        <v>6.1099652191150898E-2</v>
      </c>
      <c r="GL218" s="5">
        <v>2.28862557867987E-2</v>
      </c>
      <c r="GM218" s="5">
        <v>-0.18096917975996499</v>
      </c>
      <c r="GN218" s="5">
        <v>0.50047217574352099</v>
      </c>
      <c r="GO218" s="5">
        <v>-0.57985810477241995</v>
      </c>
      <c r="GP218" s="5">
        <v>-0.120841502977636</v>
      </c>
      <c r="GQ218" s="5">
        <v>-0.148512356610698</v>
      </c>
      <c r="GR218" s="5">
        <v>-0.143210582037512</v>
      </c>
      <c r="GS218" s="5">
        <v>-5.8659600594969601E-2</v>
      </c>
      <c r="GT218" s="5">
        <v>0.14042653946852501</v>
      </c>
      <c r="GU218" s="5">
        <v>-0.21731665000155101</v>
      </c>
      <c r="GV218" s="5">
        <v>3.9404964922709299E-2</v>
      </c>
      <c r="GW218" s="5">
        <v>-0.13107885245043099</v>
      </c>
      <c r="GX218" s="5">
        <v>-2.46494267093476E-2</v>
      </c>
      <c r="GY218" s="5">
        <v>-0.22109511122773701</v>
      </c>
      <c r="GZ218" s="5">
        <v>0.57771913348431003</v>
      </c>
      <c r="HA218" s="5">
        <v>-0.453909385466785</v>
      </c>
      <c r="HB218" s="5">
        <v>-0.31392388891686002</v>
      </c>
      <c r="HC218" s="5">
        <v>0.13029953045696599</v>
      </c>
      <c r="HD218" s="5">
        <v>0.305404405901195</v>
      </c>
      <c r="HE218" s="5">
        <v>-0.21716665259302501</v>
      </c>
      <c r="HF218" s="5">
        <v>0.90685367953107499</v>
      </c>
      <c r="HG218" s="5">
        <v>-0.84592853199918905</v>
      </c>
      <c r="HH218" s="5">
        <v>0.62918570363389403</v>
      </c>
      <c r="HI218" s="5">
        <v>-0.57272263056730699</v>
      </c>
      <c r="HJ218" s="5">
        <v>1</v>
      </c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</row>
    <row r="219" spans="1:389" x14ac:dyDescent="0.45">
      <c r="A219" s="4" t="str">
        <f ca="1">"LVA / beta2dist in "&amp;CELL("address",'damages-1990'!$K$110)</f>
        <v>LVA / beta2dist in '[BHM betas v3pd.xlsx]damages-1990'!$K$110</v>
      </c>
      <c r="B219" s="6">
        <v>-5.0699270137032203E-2</v>
      </c>
      <c r="C219" s="5">
        <v>0.15256656531801299</v>
      </c>
      <c r="D219" s="5">
        <v>-6.9500432341459098E-2</v>
      </c>
      <c r="E219" s="5">
        <v>0.29423399087200203</v>
      </c>
      <c r="F219" s="5">
        <v>-0.152875777845219</v>
      </c>
      <c r="G219" s="5">
        <v>0.240711349997281</v>
      </c>
      <c r="H219" s="5">
        <v>-0.38509446599571301</v>
      </c>
      <c r="I219" s="5">
        <v>0.36399416982171601</v>
      </c>
      <c r="J219" s="5">
        <v>0.12910296371031901</v>
      </c>
      <c r="K219" s="5">
        <v>6.9591556815532099E-2</v>
      </c>
      <c r="L219" s="5">
        <v>2.6781198917024601E-2</v>
      </c>
      <c r="M219" s="5">
        <v>7.9461929136644197E-3</v>
      </c>
      <c r="N219" s="5">
        <v>-3.0214994312784001E-3</v>
      </c>
      <c r="O219" s="5">
        <v>-0.103283318471182</v>
      </c>
      <c r="P219" s="5">
        <v>4.8574667548452098E-2</v>
      </c>
      <c r="Q219" s="5">
        <v>0.123584431955939</v>
      </c>
      <c r="R219" s="5">
        <v>0.16257471206611299</v>
      </c>
      <c r="S219" s="5">
        <v>4.9657502371202603E-2</v>
      </c>
      <c r="T219" s="5">
        <v>-0.49697750471441998</v>
      </c>
      <c r="U219" s="5">
        <v>0.51749053507638398</v>
      </c>
      <c r="V219" s="5">
        <v>-5.7284960432674101E-2</v>
      </c>
      <c r="W219" s="5">
        <v>0.148230009821748</v>
      </c>
      <c r="X219" s="5">
        <v>-2.3166984238575401E-2</v>
      </c>
      <c r="Y219" s="5">
        <v>0.195013646583623</v>
      </c>
      <c r="Z219" s="5">
        <v>-0.45606034174412902</v>
      </c>
      <c r="AA219" s="5">
        <v>0.55980333173030095</v>
      </c>
      <c r="AB219" s="5">
        <v>-0.11088898253005899</v>
      </c>
      <c r="AC219" s="5">
        <v>0.21190068762269701</v>
      </c>
      <c r="AD219" s="5">
        <v>-0.138066564291421</v>
      </c>
      <c r="AE219" s="5">
        <v>0.24166987032644299</v>
      </c>
      <c r="AF219" s="5">
        <v>0.14758448032823501</v>
      </c>
      <c r="AG219" s="5">
        <v>4.9264724910136698E-2</v>
      </c>
      <c r="AH219" s="5">
        <v>-0.25978245621674401</v>
      </c>
      <c r="AI219" s="5">
        <v>0.35058566111863199</v>
      </c>
      <c r="AJ219" s="5">
        <v>0.232282059538236</v>
      </c>
      <c r="AK219" s="5">
        <v>1.3999013903797399E-2</v>
      </c>
      <c r="AL219" s="5">
        <v>0.354486402341262</v>
      </c>
      <c r="AM219" s="5">
        <v>-0.28533120172828402</v>
      </c>
      <c r="AN219" s="5">
        <v>-0.33893015606932803</v>
      </c>
      <c r="AO219" s="5">
        <v>0.401473495621126</v>
      </c>
      <c r="AP219" s="5">
        <v>-0.79367531360138499</v>
      </c>
      <c r="AQ219" s="5">
        <v>0.88502902190254096</v>
      </c>
      <c r="AR219" s="5">
        <v>9.9127117142028903E-2</v>
      </c>
      <c r="AS219" s="5">
        <v>8.9781285657145701E-2</v>
      </c>
      <c r="AT219" s="5">
        <v>0.49189006263957602</v>
      </c>
      <c r="AU219" s="5">
        <v>-0.43378362042993301</v>
      </c>
      <c r="AV219" s="5">
        <v>0.21910536895659399</v>
      </c>
      <c r="AW219" s="5">
        <v>4.6567665468950897E-3</v>
      </c>
      <c r="AX219" s="5">
        <v>0.22728866251902499</v>
      </c>
      <c r="AY219" s="5">
        <v>-2.5437867979467201E-3</v>
      </c>
      <c r="AZ219" s="5">
        <v>6.0457425251410797E-2</v>
      </c>
      <c r="BA219" s="5">
        <v>0.10457591197626299</v>
      </c>
      <c r="BB219" s="5">
        <v>-8.5075769340502792E-3</v>
      </c>
      <c r="BC219" s="5">
        <v>0.28391341265270897</v>
      </c>
      <c r="BD219" s="5">
        <v>-0.222477737404533</v>
      </c>
      <c r="BE219" s="5">
        <v>0.33485629154748298</v>
      </c>
      <c r="BF219" s="5">
        <v>-4.3269152788041901E-2</v>
      </c>
      <c r="BG219" s="5">
        <v>0.26741537424856798</v>
      </c>
      <c r="BH219" s="5">
        <v>1.74336334451996E-2</v>
      </c>
      <c r="BI219" s="5">
        <v>0.14463801243675201</v>
      </c>
      <c r="BJ219" s="5">
        <v>-0.43067566330130003</v>
      </c>
      <c r="BK219" s="5">
        <v>0.28448941487699703</v>
      </c>
      <c r="BL219" s="5">
        <v>-0.41344058503054398</v>
      </c>
      <c r="BM219" s="5">
        <v>0.41057486873767701</v>
      </c>
      <c r="BN219" s="5">
        <v>-0.14101051338720999</v>
      </c>
      <c r="BO219" s="5">
        <v>8.1735378896483704E-2</v>
      </c>
      <c r="BP219" s="5">
        <v>-0.38344362396748299</v>
      </c>
      <c r="BQ219" s="5">
        <v>0.42346714594040402</v>
      </c>
      <c r="BR219" s="5">
        <v>-0.145883174373095</v>
      </c>
      <c r="BS219" s="5">
        <v>0.23743161907266799</v>
      </c>
      <c r="BT219" s="5">
        <v>4.6874289795072403E-2</v>
      </c>
      <c r="BU219" s="5">
        <v>0.15417217193129601</v>
      </c>
      <c r="BV219" s="5">
        <v>-2.8119737164678998E-2</v>
      </c>
      <c r="BW219" s="5">
        <v>0.21676953563076501</v>
      </c>
      <c r="BX219" s="5">
        <v>-7.5348165656869998E-2</v>
      </c>
      <c r="BY219" s="5">
        <v>0.241529749936093</v>
      </c>
      <c r="BZ219" s="5">
        <v>4.84683720812411E-2</v>
      </c>
      <c r="CA219" s="5">
        <v>0.12403321997002199</v>
      </c>
      <c r="CB219" s="5">
        <v>0.13256174021636899</v>
      </c>
      <c r="CC219" s="5">
        <v>8.6015091111889107E-3</v>
      </c>
      <c r="CD219" s="5">
        <v>0.15929648996967299</v>
      </c>
      <c r="CE219" s="5">
        <v>-5.5523199207314002E-2</v>
      </c>
      <c r="CF219" s="5">
        <v>0.106093814426066</v>
      </c>
      <c r="CG219" s="5">
        <v>2.5547024516729602E-2</v>
      </c>
      <c r="CH219" s="5">
        <v>0.30461076569408702</v>
      </c>
      <c r="CI219" s="5">
        <v>-0.22280668039781501</v>
      </c>
      <c r="CJ219" s="5">
        <v>0.124823291002196</v>
      </c>
      <c r="CK219" s="5">
        <v>3.6908314840994903E-2</v>
      </c>
      <c r="CL219" s="5">
        <v>-0.54318203631249495</v>
      </c>
      <c r="CM219" s="5">
        <v>0.61542246942122503</v>
      </c>
      <c r="CN219" s="5">
        <v>-0.56626488808735698</v>
      </c>
      <c r="CO219" s="5">
        <v>0.67578635354263406</v>
      </c>
      <c r="CP219" s="5">
        <v>-5.2227475503152598E-2</v>
      </c>
      <c r="CQ219" s="5">
        <v>0.11691887472720799</v>
      </c>
      <c r="CR219" s="5">
        <v>6.9100289705697301E-2</v>
      </c>
      <c r="CS219" s="5">
        <v>0.102975754891143</v>
      </c>
      <c r="CT219" s="5">
        <v>-0.70125302517803401</v>
      </c>
      <c r="CU219" s="5">
        <v>0.782739150344263</v>
      </c>
      <c r="CV219" s="5">
        <v>-6.711292551412E-2</v>
      </c>
      <c r="CW219" s="5">
        <v>0.22167191998279401</v>
      </c>
      <c r="CX219" s="5">
        <v>5.6861166012799596E-3</v>
      </c>
      <c r="CY219" s="5">
        <v>0.229731752007167</v>
      </c>
      <c r="CZ219" s="5">
        <v>3.2806690292109898E-2</v>
      </c>
      <c r="DA219" s="5">
        <v>0.143229165598832</v>
      </c>
      <c r="DB219" s="5">
        <v>8.2187102564952999E-2</v>
      </c>
      <c r="DC219" s="5">
        <v>0.25038282430002201</v>
      </c>
      <c r="DD219" s="5">
        <v>-4.4172027546466097E-2</v>
      </c>
      <c r="DE219" s="5">
        <v>0.12871686832184201</v>
      </c>
      <c r="DF219" s="5">
        <v>0.33019413172295298</v>
      </c>
      <c r="DG219" s="5">
        <v>-0.20493785350831001</v>
      </c>
      <c r="DH219" s="5">
        <v>-6.9033923804365793E-2</v>
      </c>
      <c r="DI219" s="5">
        <v>0.203289174106492</v>
      </c>
      <c r="DJ219" s="5">
        <v>-0.83114544493606901</v>
      </c>
      <c r="DK219" s="5">
        <v>0.90593576589258096</v>
      </c>
      <c r="DL219" s="5">
        <v>2.71234690670667E-2</v>
      </c>
      <c r="DM219" s="5">
        <v>0.10633231715486299</v>
      </c>
      <c r="DN219" s="5">
        <v>-0.77174434851657803</v>
      </c>
      <c r="DO219" s="5">
        <v>0.81808938971948997</v>
      </c>
      <c r="DP219" s="5">
        <v>1.6582229553239101E-2</v>
      </c>
      <c r="DQ219" s="5">
        <v>6.4165844051110796E-2</v>
      </c>
      <c r="DR219" s="5">
        <v>-0.30866279418188702</v>
      </c>
      <c r="DS219" s="5">
        <v>0.42961723513045003</v>
      </c>
      <c r="DT219" s="5">
        <v>6.1292572281488801E-2</v>
      </c>
      <c r="DU219" s="5">
        <v>-5.58013640366215E-3</v>
      </c>
      <c r="DV219" s="5">
        <v>-9.9546686831855094E-2</v>
      </c>
      <c r="DW219" s="5">
        <v>0.22726504030678199</v>
      </c>
      <c r="DX219" s="5">
        <v>-0.49281072922448799</v>
      </c>
      <c r="DY219" s="5">
        <v>0.545205306675555</v>
      </c>
      <c r="DZ219" s="5">
        <v>-0.12614553300092601</v>
      </c>
      <c r="EA219" s="5">
        <v>7.4878201878391601E-2</v>
      </c>
      <c r="EB219" s="5">
        <v>-8.2656183744892697E-2</v>
      </c>
      <c r="EC219" s="5">
        <v>0.20116295608918899</v>
      </c>
      <c r="ED219" s="5">
        <v>-0.104031895141669</v>
      </c>
      <c r="EE219" s="5">
        <v>0.236118665641324</v>
      </c>
      <c r="EF219" s="5">
        <v>3.9070349695243797E-2</v>
      </c>
      <c r="EG219" s="5">
        <v>0.12410227976228</v>
      </c>
      <c r="EH219" s="5">
        <v>3.7879838866259397E-2</v>
      </c>
      <c r="EI219" s="5">
        <v>0.142864948016205</v>
      </c>
      <c r="EJ219" s="5">
        <v>-1.8141449089428E-2</v>
      </c>
      <c r="EK219" s="5">
        <v>0.19969818818444701</v>
      </c>
      <c r="EL219" s="5">
        <v>0.18888282511892501</v>
      </c>
      <c r="EM219" s="5">
        <v>-5.75267026072123E-2</v>
      </c>
      <c r="EN219" s="5">
        <v>4.62800577078867E-2</v>
      </c>
      <c r="EO219" s="5">
        <v>4.0598675802457802E-2</v>
      </c>
      <c r="EP219" s="5">
        <v>8.3535100077711297E-2</v>
      </c>
      <c r="EQ219" s="5">
        <v>9.3981776561700994E-2</v>
      </c>
      <c r="ER219" s="5">
        <v>7.6381323265720197E-2</v>
      </c>
      <c r="ES219" s="5">
        <v>0.11346249452566599</v>
      </c>
      <c r="ET219" s="5">
        <v>0.17036400768936699</v>
      </c>
      <c r="EU219" s="5">
        <v>2.9603289166906601E-2</v>
      </c>
      <c r="EV219" s="5">
        <v>0.13447063699194101</v>
      </c>
      <c r="EW219" s="5">
        <v>0.11654541220293101</v>
      </c>
      <c r="EX219" s="5">
        <v>0.252778644071178</v>
      </c>
      <c r="EY219" s="5">
        <v>-1.8825097085082499E-2</v>
      </c>
      <c r="EZ219" s="5">
        <v>2.6917712150923701E-2</v>
      </c>
      <c r="FA219" s="5">
        <v>0.18493286456427299</v>
      </c>
      <c r="FB219" s="5">
        <v>-0.237762616076757</v>
      </c>
      <c r="FC219" s="5">
        <v>0.335750910742591</v>
      </c>
      <c r="FD219" s="5">
        <v>3.3908794797464802E-2</v>
      </c>
      <c r="FE219" s="5">
        <v>0.11468480202793301</v>
      </c>
      <c r="FF219" s="5">
        <v>-0.35812796022188498</v>
      </c>
      <c r="FG219" s="5">
        <v>0.45885722722716699</v>
      </c>
      <c r="FH219" s="5">
        <v>0.24881804422207901</v>
      </c>
      <c r="FI219" s="5">
        <v>-0.18187629626062701</v>
      </c>
      <c r="FJ219" s="5">
        <v>7.5143200080162398E-2</v>
      </c>
      <c r="FK219" s="5">
        <v>0.130287318584381</v>
      </c>
      <c r="FL219" s="5">
        <v>-0.33332138074784701</v>
      </c>
      <c r="FM219" s="5">
        <v>0.32139549860734901</v>
      </c>
      <c r="FN219" s="5">
        <v>-7.9933035281529299E-2</v>
      </c>
      <c r="FO219" s="5">
        <v>0.22539571819513801</v>
      </c>
      <c r="FP219" s="5">
        <v>3.6586881136913503E-2</v>
      </c>
      <c r="FQ219" s="5">
        <v>0.18415519504358899</v>
      </c>
      <c r="FR219" s="5">
        <v>-4.2996713741664201E-2</v>
      </c>
      <c r="FS219" s="5">
        <v>-9.0374021191255802E-2</v>
      </c>
      <c r="FT219" s="5">
        <v>3.9758338249970403E-2</v>
      </c>
      <c r="FU219" s="5">
        <v>0.24961920403009799</v>
      </c>
      <c r="FV219" s="5">
        <v>-0.117468777057589</v>
      </c>
      <c r="FW219" s="5">
        <v>0.23248477977658599</v>
      </c>
      <c r="FX219" s="5">
        <v>0.17470380905240801</v>
      </c>
      <c r="FY219" s="5">
        <v>-1.11231697066301E-2</v>
      </c>
      <c r="FZ219" s="5">
        <v>6.5177127047397103E-3</v>
      </c>
      <c r="GA219" s="5">
        <v>0.30228774279762599</v>
      </c>
      <c r="GB219" s="5">
        <v>-0.33443672811645397</v>
      </c>
      <c r="GC219" s="5">
        <v>0.48687862529217202</v>
      </c>
      <c r="GD219" s="5">
        <v>-0.53586092244440298</v>
      </c>
      <c r="GE219" s="5">
        <v>0.57959727433897401</v>
      </c>
      <c r="GF219" s="5">
        <v>0.17763134700839001</v>
      </c>
      <c r="GG219" s="5">
        <v>8.0235041621003998E-3</v>
      </c>
      <c r="GH219" s="5">
        <v>-6.9381513997778393E-2</v>
      </c>
      <c r="GI219" s="5">
        <v>-0.124063090204592</v>
      </c>
      <c r="GJ219" s="5">
        <v>0.233654030783887</v>
      </c>
      <c r="GK219" s="5">
        <v>-6.8356053184031901E-2</v>
      </c>
      <c r="GL219" s="5">
        <v>-3.5736923203885801E-2</v>
      </c>
      <c r="GM219" s="5">
        <v>0.201484681110601</v>
      </c>
      <c r="GN219" s="5">
        <v>-0.27531953144141003</v>
      </c>
      <c r="GO219" s="5">
        <v>0.45626232263444799</v>
      </c>
      <c r="GP219" s="5">
        <v>0.111871128563654</v>
      </c>
      <c r="GQ219" s="5">
        <v>0.143347365981536</v>
      </c>
      <c r="GR219" s="5">
        <v>0.15482875254803699</v>
      </c>
      <c r="GS219" s="5">
        <v>5.35677879696876E-2</v>
      </c>
      <c r="GT219" s="5">
        <v>-3.4380662617524801E-2</v>
      </c>
      <c r="GU219" s="5">
        <v>0.19410083934813499</v>
      </c>
      <c r="GV219" s="5">
        <v>-4.5137609198925302E-2</v>
      </c>
      <c r="GW219" s="5">
        <v>0.14236298689767299</v>
      </c>
      <c r="GX219" s="5">
        <v>4.2697044283430498E-2</v>
      </c>
      <c r="GY219" s="5">
        <v>0.20662140753436001</v>
      </c>
      <c r="GZ219" s="5">
        <v>-0.45373183195009897</v>
      </c>
      <c r="HA219" s="5">
        <v>0.462096234654023</v>
      </c>
      <c r="HB219" s="5">
        <v>0.31291824504584198</v>
      </c>
      <c r="HC219" s="5">
        <v>-0.12838939115984099</v>
      </c>
      <c r="HD219" s="5">
        <v>-0.11577334837985399</v>
      </c>
      <c r="HE219" s="5">
        <v>0.15292127617457199</v>
      </c>
      <c r="HF219" s="5">
        <v>-0.81570162535671598</v>
      </c>
      <c r="HG219" s="5">
        <v>0.90536619699143706</v>
      </c>
      <c r="HH219" s="5">
        <v>-0.46213385098524701</v>
      </c>
      <c r="HI219" s="5">
        <v>0.55347747043981499</v>
      </c>
      <c r="HJ219" s="5">
        <v>-0.91545440932169597</v>
      </c>
      <c r="HK219" s="5">
        <v>1</v>
      </c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</row>
    <row r="220" spans="1:389" x14ac:dyDescent="0.45">
      <c r="A220" s="4" t="str">
        <f ca="1">"MAR / beta1dist in "&amp;CELL("address",'damages-1990'!$J$111)</f>
        <v>MAR / beta1dist in '[BHM betas v3pd.xlsx]damages-1990'!$J$111</v>
      </c>
      <c r="B220" s="6">
        <v>0.47575147554379299</v>
      </c>
      <c r="C220" s="5">
        <v>-8.2294075204842193E-2</v>
      </c>
      <c r="D220" s="5">
        <v>0.43821066264360198</v>
      </c>
      <c r="E220" s="5">
        <v>-0.21783817632147201</v>
      </c>
      <c r="F220" s="5">
        <v>0.34504471803933801</v>
      </c>
      <c r="G220" s="5">
        <v>3.4596568439319603E-2</v>
      </c>
      <c r="H220" s="5">
        <v>-0.31977432878438</v>
      </c>
      <c r="I220" s="5">
        <v>0.47541199069747497</v>
      </c>
      <c r="J220" s="5">
        <v>0.56061631141033397</v>
      </c>
      <c r="K220" s="5">
        <v>-0.30746219465547397</v>
      </c>
      <c r="L220" s="5">
        <v>0.46424759455925702</v>
      </c>
      <c r="M220" s="5">
        <v>-0.110103115508489</v>
      </c>
      <c r="N220" s="5">
        <v>7.3004058676457706E-2</v>
      </c>
      <c r="O220" s="5">
        <v>0.110389232906996</v>
      </c>
      <c r="P220" s="5">
        <v>0.38414876507161699</v>
      </c>
      <c r="Q220" s="5">
        <v>-0.21600349922935499</v>
      </c>
      <c r="R220" s="5">
        <v>0.47065085288801101</v>
      </c>
      <c r="S220" s="5">
        <v>-0.20020978624607</v>
      </c>
      <c r="T220" s="5">
        <v>-3.7913736281897703E-2</v>
      </c>
      <c r="U220" s="5">
        <v>0.175272152794679</v>
      </c>
      <c r="V220" s="5">
        <v>0.37139549122738902</v>
      </c>
      <c r="W220" s="5">
        <v>0.119835820122588</v>
      </c>
      <c r="X220" s="5">
        <v>0.42974284921565198</v>
      </c>
      <c r="Y220" s="5">
        <v>-0.180455807065589</v>
      </c>
      <c r="Z220" s="5">
        <v>9.4827117975757699E-2</v>
      </c>
      <c r="AA220" s="5">
        <v>0.15536334750016201</v>
      </c>
      <c r="AB220" s="5">
        <v>0.34073409849578201</v>
      </c>
      <c r="AC220" s="5">
        <v>-0.274494017616495</v>
      </c>
      <c r="AD220" s="5">
        <v>0.35664504844989697</v>
      </c>
      <c r="AE220" s="5">
        <v>-0.25301798135294801</v>
      </c>
      <c r="AF220" s="5">
        <v>0.395782300680461</v>
      </c>
      <c r="AG220" s="5">
        <v>-0.19188140895327299</v>
      </c>
      <c r="AH220" s="5">
        <v>0.24835086356774599</v>
      </c>
      <c r="AI220" s="5">
        <v>0.11013592977605501</v>
      </c>
      <c r="AJ220" s="5">
        <v>0.569716678560516</v>
      </c>
      <c r="AK220" s="5">
        <v>-0.28023673403163701</v>
      </c>
      <c r="AL220" s="5">
        <v>0.31626594269352998</v>
      </c>
      <c r="AM220" s="5">
        <v>-0.14759577627786499</v>
      </c>
      <c r="AN220" s="5">
        <v>0.18297405803063399</v>
      </c>
      <c r="AO220" s="5">
        <v>7.7295681490979304E-2</v>
      </c>
      <c r="AP220" s="5">
        <v>-2.6379537399175201E-2</v>
      </c>
      <c r="AQ220" s="5">
        <v>0.141640421120139</v>
      </c>
      <c r="AR220" s="5">
        <v>0.46742365352964499</v>
      </c>
      <c r="AS220" s="5">
        <v>-0.26709860615148101</v>
      </c>
      <c r="AT220" s="5">
        <v>0.30759370090093702</v>
      </c>
      <c r="AU220" s="5">
        <v>-0.134654619036298</v>
      </c>
      <c r="AV220" s="5">
        <v>0.526263385283254</v>
      </c>
      <c r="AW220" s="5">
        <v>-0.27911510496874598</v>
      </c>
      <c r="AX220" s="5">
        <v>0.53316544913807296</v>
      </c>
      <c r="AY220" s="5">
        <v>-0.31722415469591198</v>
      </c>
      <c r="AZ220" s="5">
        <v>0.412988370877025</v>
      </c>
      <c r="BA220" s="5">
        <v>-0.28448703132475001</v>
      </c>
      <c r="BB220" s="5">
        <v>0.41469104428172199</v>
      </c>
      <c r="BC220" s="5">
        <v>-0.20200098596440899</v>
      </c>
      <c r="BD220" s="5">
        <v>0.31075781129837998</v>
      </c>
      <c r="BE220" s="5">
        <v>0.114775564933041</v>
      </c>
      <c r="BF220" s="5">
        <v>0.32392216125435103</v>
      </c>
      <c r="BG220" s="5">
        <v>-8.9539541106331597E-2</v>
      </c>
      <c r="BH220" s="5">
        <v>0.48585027948632198</v>
      </c>
      <c r="BI220" s="5">
        <v>-0.329705058219048</v>
      </c>
      <c r="BJ220" s="5">
        <v>-0.25267604119422699</v>
      </c>
      <c r="BK220" s="5">
        <v>0.29401729162465401</v>
      </c>
      <c r="BL220" s="5">
        <v>-0.11712471313686</v>
      </c>
      <c r="BM220" s="5">
        <v>0.25228529296612801</v>
      </c>
      <c r="BN220" s="5">
        <v>8.6891477342951495E-2</v>
      </c>
      <c r="BO220" s="5">
        <v>0.19117655495715499</v>
      </c>
      <c r="BP220" s="5">
        <v>2.31016651335984E-2</v>
      </c>
      <c r="BQ220" s="5">
        <v>0.28424268179272499</v>
      </c>
      <c r="BR220" s="5">
        <v>0.35709180258737999</v>
      </c>
      <c r="BS220" s="5">
        <v>-0.28706524565115299</v>
      </c>
      <c r="BT220" s="5">
        <v>0.47584520107926098</v>
      </c>
      <c r="BU220" s="5">
        <v>-0.31719169005110198</v>
      </c>
      <c r="BV220" s="5">
        <v>0.44816178158536502</v>
      </c>
      <c r="BW220" s="5">
        <v>-0.26808422278142702</v>
      </c>
      <c r="BX220" s="5">
        <v>0.36133165108377802</v>
      </c>
      <c r="BY220" s="5">
        <v>-0.22648519084398999</v>
      </c>
      <c r="BZ220" s="5">
        <v>0.507693831605178</v>
      </c>
      <c r="CA220" s="5">
        <v>-0.34613304861801902</v>
      </c>
      <c r="CB220" s="5">
        <v>0.22728926271757599</v>
      </c>
      <c r="CC220" s="5">
        <v>-6.1772913868740099E-2</v>
      </c>
      <c r="CD220" s="5">
        <v>0.49212031047133897</v>
      </c>
      <c r="CE220" s="5">
        <v>-0.33889793386164402</v>
      </c>
      <c r="CF220" s="5">
        <v>0.53674570452172399</v>
      </c>
      <c r="CG220" s="5">
        <v>-0.383021266758233</v>
      </c>
      <c r="CH220" s="5">
        <v>0.21439403986234201</v>
      </c>
      <c r="CI220" s="5">
        <v>-6.4054902109662998E-2</v>
      </c>
      <c r="CJ220" s="5">
        <v>0.33958034993117697</v>
      </c>
      <c r="CK220" s="5">
        <v>-4.8415841311327597E-2</v>
      </c>
      <c r="CL220" s="5">
        <v>2.4912288203438201E-2</v>
      </c>
      <c r="CM220" s="5">
        <v>0.157702053348802</v>
      </c>
      <c r="CN220" s="5">
        <v>5.18029256954241E-2</v>
      </c>
      <c r="CO220" s="5">
        <v>0.17187041168306</v>
      </c>
      <c r="CP220" s="5">
        <v>0.52357828167226295</v>
      </c>
      <c r="CQ220" s="5">
        <v>-0.37859405576887201</v>
      </c>
      <c r="CR220" s="5">
        <v>0.37653102332840299</v>
      </c>
      <c r="CS220" s="5">
        <v>-0.20530028707482301</v>
      </c>
      <c r="CT220" s="5">
        <v>-3.1770127207109498E-2</v>
      </c>
      <c r="CU220" s="5">
        <v>0.163854957326103</v>
      </c>
      <c r="CV220" s="5">
        <v>0.317680268270432</v>
      </c>
      <c r="CW220" s="5">
        <v>-0.114125765632096</v>
      </c>
      <c r="CX220" s="5">
        <v>0.513548581541448</v>
      </c>
      <c r="CY220" s="5">
        <v>-0.25017160310563202</v>
      </c>
      <c r="CZ220" s="5">
        <v>0.45964309854827901</v>
      </c>
      <c r="DA220" s="5">
        <v>-0.24869506853043599</v>
      </c>
      <c r="DB220" s="5">
        <v>0.40990014395947899</v>
      </c>
      <c r="DC220" s="5">
        <v>-1.3383787252745799E-2</v>
      </c>
      <c r="DD220" s="5">
        <v>0.42737993362298099</v>
      </c>
      <c r="DE220" s="5">
        <v>-0.24994821133701101</v>
      </c>
      <c r="DF220" s="5">
        <v>0.79756897160816598</v>
      </c>
      <c r="DG220" s="5">
        <v>-0.60444418309863202</v>
      </c>
      <c r="DH220" s="5">
        <v>0.64071454359798596</v>
      </c>
      <c r="DI220" s="5">
        <v>-0.33128427401075</v>
      </c>
      <c r="DJ220" s="5">
        <v>-8.1129454165133397E-2</v>
      </c>
      <c r="DK220" s="5">
        <v>0.16074649563871601</v>
      </c>
      <c r="DL220" s="5">
        <v>0.50652539435695099</v>
      </c>
      <c r="DM220" s="5">
        <v>-0.31120880240176502</v>
      </c>
      <c r="DN220" s="5">
        <v>-0.176324083676276</v>
      </c>
      <c r="DO220" s="5">
        <v>0.21858885400775799</v>
      </c>
      <c r="DP220" s="5">
        <v>0.26464964783061001</v>
      </c>
      <c r="DQ220" s="5">
        <v>-3.0858155634165701E-2</v>
      </c>
      <c r="DR220" s="5">
        <v>0.25180005642148301</v>
      </c>
      <c r="DS220" s="5">
        <v>6.6379120609876399E-2</v>
      </c>
      <c r="DT220" s="5">
        <v>0.32072784765717199</v>
      </c>
      <c r="DU220" s="5">
        <v>-0.18375750558558601</v>
      </c>
      <c r="DV220" s="5">
        <v>0.21265302988619</v>
      </c>
      <c r="DW220" s="5">
        <v>-0.101486620547768</v>
      </c>
      <c r="DX220" s="5">
        <v>-4.1196954231760903E-2</v>
      </c>
      <c r="DY220" s="5">
        <v>0.189835482116991</v>
      </c>
      <c r="DZ220" s="5">
        <v>0.108388009861472</v>
      </c>
      <c r="EA220" s="5">
        <v>0.10043394563885</v>
      </c>
      <c r="EB220" s="5">
        <v>0.46856474071771298</v>
      </c>
      <c r="EC220" s="5">
        <v>-0.34550116946096898</v>
      </c>
      <c r="ED220" s="5">
        <v>0.43464556353591899</v>
      </c>
      <c r="EE220" s="5">
        <v>-0.29583418087951502</v>
      </c>
      <c r="EF220" s="5">
        <v>0.37154026016884101</v>
      </c>
      <c r="EG220" s="5">
        <v>-0.20411245268647499</v>
      </c>
      <c r="EH220" s="5">
        <v>0.60953753252835197</v>
      </c>
      <c r="EI220" s="5">
        <v>-0.41373977109006399</v>
      </c>
      <c r="EJ220" s="5">
        <v>0.57216372269119997</v>
      </c>
      <c r="EK220" s="5">
        <v>-0.36634450827598702</v>
      </c>
      <c r="EL220" s="5">
        <v>0.55767702812874698</v>
      </c>
      <c r="EM220" s="5">
        <v>-0.44316737286387797</v>
      </c>
      <c r="EN220" s="5">
        <v>0.36761009957296598</v>
      </c>
      <c r="EO220" s="5">
        <v>6.7609823577890601E-3</v>
      </c>
      <c r="EP220" s="5">
        <v>0.33725836725837999</v>
      </c>
      <c r="EQ220" s="5">
        <v>-0.18928205208062199</v>
      </c>
      <c r="ER220" s="5">
        <v>0.45418258381571802</v>
      </c>
      <c r="ES220" s="5">
        <v>-0.20685639234096101</v>
      </c>
      <c r="ET220" s="5">
        <v>0.47765326332802099</v>
      </c>
      <c r="EU220" s="5">
        <v>-0.30616565663814999</v>
      </c>
      <c r="EV220" s="5">
        <v>0.53429635368084605</v>
      </c>
      <c r="EW220" s="5">
        <v>-0.34541556630039799</v>
      </c>
      <c r="EX220" s="5">
        <v>0.398508225285442</v>
      </c>
      <c r="EY220" s="5">
        <v>-0.186551179234662</v>
      </c>
      <c r="EZ220" s="5">
        <v>0.46831840382385298</v>
      </c>
      <c r="FA220" s="5">
        <v>-0.25264107796847501</v>
      </c>
      <c r="FB220" s="5">
        <v>0.32542123549906798</v>
      </c>
      <c r="FC220" s="5">
        <v>-9.5240409966213906E-3</v>
      </c>
      <c r="FD220" s="5">
        <v>0.33364986222787801</v>
      </c>
      <c r="FE220" s="5">
        <v>-0.146745049507921</v>
      </c>
      <c r="FF220" s="5">
        <v>0.24556237480194701</v>
      </c>
      <c r="FG220" s="5">
        <v>5.2136411490973499E-2</v>
      </c>
      <c r="FH220" s="5">
        <v>0.359570046900825</v>
      </c>
      <c r="FI220" s="5">
        <v>-0.221203806936417</v>
      </c>
      <c r="FJ220" s="5">
        <v>0.43085826998090199</v>
      </c>
      <c r="FK220" s="5">
        <v>-0.131956424760373</v>
      </c>
      <c r="FL220" s="5">
        <v>9.8953280434576595E-3</v>
      </c>
      <c r="FM220" s="5">
        <v>0.13830274850438101</v>
      </c>
      <c r="FN220" s="5">
        <v>0.48025694900036298</v>
      </c>
      <c r="FO220" s="5">
        <v>-0.114145465661548</v>
      </c>
      <c r="FP220" s="5">
        <v>0.51524451550139905</v>
      </c>
      <c r="FQ220" s="5">
        <v>-0.19028453382112501</v>
      </c>
      <c r="FR220" s="5">
        <v>-0.14787834174455</v>
      </c>
      <c r="FS220" s="5">
        <v>9.7685715184523805E-2</v>
      </c>
      <c r="FT220" s="5">
        <v>0.49987548313727198</v>
      </c>
      <c r="FU220" s="5">
        <v>-0.105282063168021</v>
      </c>
      <c r="FV220" s="5">
        <v>0.478315594364632</v>
      </c>
      <c r="FW220" s="5">
        <v>-0.18255362643502401</v>
      </c>
      <c r="FX220" s="5">
        <v>0.511142006763881</v>
      </c>
      <c r="FY220" s="5">
        <v>-0.33017807449265701</v>
      </c>
      <c r="FZ220" s="5">
        <v>0.54246968737211498</v>
      </c>
      <c r="GA220" s="5">
        <v>-0.126480533434394</v>
      </c>
      <c r="GB220" s="5">
        <v>0.28267320042281602</v>
      </c>
      <c r="GC220" s="5">
        <v>8.9231269011430095E-2</v>
      </c>
      <c r="GD220" s="5">
        <v>-0.15104047887323899</v>
      </c>
      <c r="GE220" s="5">
        <v>0.294575091802732</v>
      </c>
      <c r="GF220" s="5">
        <v>0.47106344391098998</v>
      </c>
      <c r="GG220" s="5">
        <v>-0.30517339809478</v>
      </c>
      <c r="GH220" s="5">
        <v>-0.22258142837094999</v>
      </c>
      <c r="GI220" s="5">
        <v>0.32228839124788</v>
      </c>
      <c r="GJ220" s="5">
        <v>0.48917469818736398</v>
      </c>
      <c r="GK220" s="5">
        <v>-0.36706749077475997</v>
      </c>
      <c r="GL220" s="5">
        <v>0.36635796409979199</v>
      </c>
      <c r="GM220" s="5">
        <v>-0.18825119764620701</v>
      </c>
      <c r="GN220" s="5">
        <v>0.33402589901711999</v>
      </c>
      <c r="GO220" s="5">
        <v>3.7560481745015799E-2</v>
      </c>
      <c r="GP220" s="5">
        <v>0.56926151501095901</v>
      </c>
      <c r="GQ220" s="5">
        <v>-0.26123897903408</v>
      </c>
      <c r="GR220" s="5">
        <v>0.48398113444510299</v>
      </c>
      <c r="GS220" s="5">
        <v>-0.34741765404267599</v>
      </c>
      <c r="GT220" s="5">
        <v>0.50856059020572097</v>
      </c>
      <c r="GU220" s="5">
        <v>-0.102414549400326</v>
      </c>
      <c r="GV220" s="5">
        <v>0.249802293590345</v>
      </c>
      <c r="GW220" s="5">
        <v>-0.19754223628973699</v>
      </c>
      <c r="GX220" s="5">
        <v>0.27351029368042401</v>
      </c>
      <c r="GY220" s="5">
        <v>2.9387761282723801E-2</v>
      </c>
      <c r="GZ220" s="5">
        <v>-0.113875297400356</v>
      </c>
      <c r="HA220" s="5">
        <v>0.2458715226016</v>
      </c>
      <c r="HB220" s="5">
        <v>0.48110463074251197</v>
      </c>
      <c r="HC220" s="5">
        <v>-0.32763486636762901</v>
      </c>
      <c r="HD220" s="5">
        <v>0.32142523311842702</v>
      </c>
      <c r="HE220" s="5">
        <v>0.10357072050739</v>
      </c>
      <c r="HF220" s="5">
        <v>-4.7034428170790801E-2</v>
      </c>
      <c r="HG220" s="5">
        <v>0.159360917088291</v>
      </c>
      <c r="HH220" s="5">
        <v>5.9157669696567799E-2</v>
      </c>
      <c r="HI220" s="5">
        <v>0.18440690391018699</v>
      </c>
      <c r="HJ220" s="5">
        <v>-7.3457739081662907E-2</v>
      </c>
      <c r="HK220" s="5">
        <v>0.16356429599458699</v>
      </c>
      <c r="HL220" s="5">
        <v>1</v>
      </c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</row>
    <row r="221" spans="1:389" x14ac:dyDescent="0.45">
      <c r="A221" s="4" t="str">
        <f ca="1">"MAR / beta2dist in "&amp;CELL("address",'damages-1990'!$K$111)</f>
        <v>MAR / beta2dist in '[BHM betas v3pd.xlsx]damages-1990'!$K$111</v>
      </c>
      <c r="B221" s="6">
        <v>-0.23429177228266701</v>
      </c>
      <c r="C221" s="5">
        <v>0.34463972775912499</v>
      </c>
      <c r="D221" s="5">
        <v>-0.112505445013282</v>
      </c>
      <c r="E221" s="5">
        <v>0.400265886176292</v>
      </c>
      <c r="F221" s="5">
        <v>-9.5527206069889306E-2</v>
      </c>
      <c r="G221" s="5">
        <v>4.6110917255175597E-2</v>
      </c>
      <c r="H221" s="5">
        <v>0.29722363693172199</v>
      </c>
      <c r="I221" s="5">
        <v>-0.478526963703717</v>
      </c>
      <c r="J221" s="5">
        <v>-0.296391197256475</v>
      </c>
      <c r="K221" s="5">
        <v>0.50353079346181995</v>
      </c>
      <c r="L221" s="5">
        <v>-6.6646593647292002E-2</v>
      </c>
      <c r="M221" s="5">
        <v>0.14200937342398101</v>
      </c>
      <c r="N221" s="5">
        <v>2.2512420122790901E-2</v>
      </c>
      <c r="O221" s="5">
        <v>-0.13926055495574899</v>
      </c>
      <c r="P221" s="5">
        <v>-0.34154720758892598</v>
      </c>
      <c r="Q221" s="5">
        <v>0.44013483261010899</v>
      </c>
      <c r="R221" s="5">
        <v>-0.13233760017660001</v>
      </c>
      <c r="S221" s="5">
        <v>0.35612156967568098</v>
      </c>
      <c r="T221" s="5">
        <v>2.97815507170881E-3</v>
      </c>
      <c r="U221" s="5">
        <v>-8.5660583042415403E-2</v>
      </c>
      <c r="V221" s="5">
        <v>-4.9103687363132899E-2</v>
      </c>
      <c r="W221" s="5">
        <v>-2.2766900241651501E-2</v>
      </c>
      <c r="X221" s="5">
        <v>-0.13211107807795899</v>
      </c>
      <c r="Y221" s="5">
        <v>0.36835772277561202</v>
      </c>
      <c r="Z221" s="5">
        <v>5.07157035721698E-3</v>
      </c>
      <c r="AA221" s="5">
        <v>-8.2942795427620203E-2</v>
      </c>
      <c r="AB221" s="5">
        <v>-0.12515394165671401</v>
      </c>
      <c r="AC221" s="5">
        <v>0.46651047920398597</v>
      </c>
      <c r="AD221" s="5">
        <v>-0.19034406018518599</v>
      </c>
      <c r="AE221" s="5">
        <v>0.50144335939437401</v>
      </c>
      <c r="AF221" s="5">
        <v>-8.0149489069301999E-2</v>
      </c>
      <c r="AG221" s="5">
        <v>0.26205432841270698</v>
      </c>
      <c r="AH221" s="5">
        <v>-4.61100774187264E-2</v>
      </c>
      <c r="AI221" s="5">
        <v>-3.2516090046234902E-2</v>
      </c>
      <c r="AJ221" s="5">
        <v>-0.34790015773816702</v>
      </c>
      <c r="AK221" s="5">
        <v>0.48451336064379502</v>
      </c>
      <c r="AL221" s="5">
        <v>6.6327163214319307E-2</v>
      </c>
      <c r="AM221" s="5">
        <v>-1.28065704976151E-2</v>
      </c>
      <c r="AN221" s="5">
        <v>-9.5987964079684199E-2</v>
      </c>
      <c r="AO221" s="5">
        <v>2.7511994164222502E-2</v>
      </c>
      <c r="AP221" s="5">
        <v>-5.4128255868657597E-2</v>
      </c>
      <c r="AQ221" s="5">
        <v>1.8743398540661999E-2</v>
      </c>
      <c r="AR221" s="5">
        <v>-0.120682477371133</v>
      </c>
      <c r="AS221" s="5">
        <v>0.27546451949610401</v>
      </c>
      <c r="AT221" s="5">
        <v>3.6416950796788201E-2</v>
      </c>
      <c r="AU221" s="5">
        <v>9.2861610446785103E-3</v>
      </c>
      <c r="AV221" s="5">
        <v>-0.123801000167162</v>
      </c>
      <c r="AW221" s="5">
        <v>0.366086625737361</v>
      </c>
      <c r="AX221" s="5">
        <v>-0.17386246118583201</v>
      </c>
      <c r="AY221" s="5">
        <v>0.42950498809837401</v>
      </c>
      <c r="AZ221" s="5">
        <v>-0.343291613913981</v>
      </c>
      <c r="BA221" s="5">
        <v>0.47881312045802799</v>
      </c>
      <c r="BB221" s="5">
        <v>-8.3652024643925599E-2</v>
      </c>
      <c r="BC221" s="5">
        <v>0.35521465343373698</v>
      </c>
      <c r="BD221" s="5">
        <v>-0.131332763217335</v>
      </c>
      <c r="BE221" s="5">
        <v>0.156621187359619</v>
      </c>
      <c r="BF221" s="5">
        <v>-3.4216052246310198E-2</v>
      </c>
      <c r="BG221" s="5">
        <v>0.19942123878961199</v>
      </c>
      <c r="BH221" s="5">
        <v>-0.18495242740672499</v>
      </c>
      <c r="BI221" s="5">
        <v>0.52078621229293098</v>
      </c>
      <c r="BJ221" s="5">
        <v>8.3816582445652196E-2</v>
      </c>
      <c r="BK221" s="5">
        <v>-0.29776389947596799</v>
      </c>
      <c r="BL221" s="5">
        <v>6.5552103744550699E-2</v>
      </c>
      <c r="BM221" s="5">
        <v>-0.18680444434993801</v>
      </c>
      <c r="BN221" s="5">
        <v>2.67896104148176E-3</v>
      </c>
      <c r="BO221" s="5">
        <v>-0.15151509121974899</v>
      </c>
      <c r="BP221" s="5">
        <v>2.99757652479759E-3</v>
      </c>
      <c r="BQ221" s="5">
        <v>-0.196958985818044</v>
      </c>
      <c r="BR221" s="5">
        <v>-0.22173819518805299</v>
      </c>
      <c r="BS221" s="5">
        <v>0.55856704996800799</v>
      </c>
      <c r="BT221" s="5">
        <v>-0.137276794864514</v>
      </c>
      <c r="BU221" s="5">
        <v>0.49336229961938999</v>
      </c>
      <c r="BV221" s="5">
        <v>-0.145279430097603</v>
      </c>
      <c r="BW221" s="5">
        <v>0.46117849858752102</v>
      </c>
      <c r="BX221" s="5">
        <v>-8.3996514852483398E-2</v>
      </c>
      <c r="BY221" s="5">
        <v>0.39711910217955698</v>
      </c>
      <c r="BZ221" s="5">
        <v>-0.23002295265460301</v>
      </c>
      <c r="CA221" s="5">
        <v>0.51242937660435695</v>
      </c>
      <c r="CB221" s="5">
        <v>6.8064693105842206E-2</v>
      </c>
      <c r="CC221" s="5">
        <v>8.9639308480110702E-2</v>
      </c>
      <c r="CD221" s="5">
        <v>-0.36758963902498698</v>
      </c>
      <c r="CE221" s="5">
        <v>0.50349699738470899</v>
      </c>
      <c r="CF221" s="5">
        <v>-0.36684673796969502</v>
      </c>
      <c r="CG221" s="5">
        <v>0.52255549225133502</v>
      </c>
      <c r="CH221" s="5">
        <v>0.168747492866134</v>
      </c>
      <c r="CI221" s="5">
        <v>-0.118072441773953</v>
      </c>
      <c r="CJ221" s="5">
        <v>-8.0245693805171603E-2</v>
      </c>
      <c r="CK221" s="5">
        <v>9.32409670808617E-2</v>
      </c>
      <c r="CL221" s="5">
        <v>7.4803921668933297E-3</v>
      </c>
      <c r="CM221" s="5">
        <v>-8.4659797094544298E-2</v>
      </c>
      <c r="CN221" s="5">
        <v>1.1654911567288E-2</v>
      </c>
      <c r="CO221" s="5">
        <v>-0.10124014936475501</v>
      </c>
      <c r="CP221" s="5">
        <v>-0.48079053946641798</v>
      </c>
      <c r="CQ221" s="5">
        <v>0.64680155201189504</v>
      </c>
      <c r="CR221" s="5">
        <v>-0.29614404116932003</v>
      </c>
      <c r="CS221" s="5">
        <v>0.41800704115895898</v>
      </c>
      <c r="CT221" s="5">
        <v>3.6736580204101497E-2</v>
      </c>
      <c r="CU221" s="5">
        <v>-8.7789247526615002E-2</v>
      </c>
      <c r="CV221" s="5">
        <v>-0.17906914610894001</v>
      </c>
      <c r="CW221" s="5">
        <v>0.27311208237052198</v>
      </c>
      <c r="CX221" s="5">
        <v>-0.21778388909667201</v>
      </c>
      <c r="CY221" s="5">
        <v>0.41258170062800398</v>
      </c>
      <c r="CZ221" s="5">
        <v>-0.18200578514601401</v>
      </c>
      <c r="DA221" s="5">
        <v>0.37656982181542398</v>
      </c>
      <c r="DB221" s="5">
        <v>-6.7130141348470798E-2</v>
      </c>
      <c r="DC221" s="5">
        <v>0.11958357569068</v>
      </c>
      <c r="DD221" s="5">
        <v>-0.335818932964012</v>
      </c>
      <c r="DE221" s="5">
        <v>0.53600136120244202</v>
      </c>
      <c r="DF221" s="5">
        <v>-0.59039164576341496</v>
      </c>
      <c r="DG221" s="5">
        <v>0.80315046669306001</v>
      </c>
      <c r="DH221" s="5">
        <v>-0.39160391308799603</v>
      </c>
      <c r="DI221" s="5">
        <v>0.52443423533546096</v>
      </c>
      <c r="DJ221" s="5">
        <v>-2.58740518327523E-2</v>
      </c>
      <c r="DK221" s="5">
        <v>-7.0805390564796598E-3</v>
      </c>
      <c r="DL221" s="5">
        <v>-0.278637023096451</v>
      </c>
      <c r="DM221" s="5">
        <v>0.56586866266166402</v>
      </c>
      <c r="DN221" s="5">
        <v>7.7244117254099496E-3</v>
      </c>
      <c r="DO221" s="5">
        <v>-6.3174067176112805E-2</v>
      </c>
      <c r="DP221" s="5">
        <v>0.121262667556994</v>
      </c>
      <c r="DQ221" s="5">
        <v>-5.1362127200420098E-2</v>
      </c>
      <c r="DR221" s="5">
        <v>-7.4388202662759001E-2</v>
      </c>
      <c r="DS221" s="5">
        <v>3.1378738950098697E-2</v>
      </c>
      <c r="DT221" s="5">
        <v>-0.19067513171414599</v>
      </c>
      <c r="DU221" s="5">
        <v>0.26802593869540398</v>
      </c>
      <c r="DV221" s="5">
        <v>-1.7024479925588299E-2</v>
      </c>
      <c r="DW221" s="5">
        <v>0.28403819248602702</v>
      </c>
      <c r="DX221" s="5">
        <v>4.0975218127623503E-2</v>
      </c>
      <c r="DY221" s="5">
        <v>-7.66191429072062E-2</v>
      </c>
      <c r="DZ221" s="5">
        <v>-1.32012066008867E-2</v>
      </c>
      <c r="EA221" s="5">
        <v>-8.5307639934348506E-2</v>
      </c>
      <c r="EB221" s="5">
        <v>-0.29498615479817403</v>
      </c>
      <c r="EC221" s="5">
        <v>0.59050509522790295</v>
      </c>
      <c r="ED221" s="5">
        <v>-0.221958582373178</v>
      </c>
      <c r="EE221" s="5">
        <v>0.54207348059251104</v>
      </c>
      <c r="EF221" s="5">
        <v>-0.32798535015313401</v>
      </c>
      <c r="EG221" s="5">
        <v>0.42822505607175199</v>
      </c>
      <c r="EH221" s="5">
        <v>-0.37204002921916901</v>
      </c>
      <c r="EI221" s="5">
        <v>0.64123182626721198</v>
      </c>
      <c r="EJ221" s="5">
        <v>-0.34286911149985799</v>
      </c>
      <c r="EK221" s="5">
        <v>0.60508197143440201</v>
      </c>
      <c r="EL221" s="5">
        <v>-0.24273477052603301</v>
      </c>
      <c r="EM221" s="5">
        <v>0.56894895495395104</v>
      </c>
      <c r="EN221" s="5">
        <v>-2.4207502451267401E-2</v>
      </c>
      <c r="EO221" s="5">
        <v>-2.2999027720267799E-2</v>
      </c>
      <c r="EP221" s="5">
        <v>-0.24467060616540301</v>
      </c>
      <c r="EQ221" s="5">
        <v>0.37020429788647502</v>
      </c>
      <c r="ER221" s="5">
        <v>-9.7833710144455605E-2</v>
      </c>
      <c r="ES221" s="5">
        <v>0.26029279574171899</v>
      </c>
      <c r="ET221" s="5">
        <v>-0.159429249938664</v>
      </c>
      <c r="EU221" s="5">
        <v>0.36259168985516699</v>
      </c>
      <c r="EV221" s="5">
        <v>-0.27593473772669203</v>
      </c>
      <c r="EW221" s="5">
        <v>0.47834498801018599</v>
      </c>
      <c r="EX221" s="5">
        <v>-1.4006515417126201E-2</v>
      </c>
      <c r="EY221" s="5">
        <v>0.13517561619608501</v>
      </c>
      <c r="EZ221" s="5">
        <v>-0.15335120369185001</v>
      </c>
      <c r="FA221" s="5">
        <v>0.36459583530462297</v>
      </c>
      <c r="FB221" s="5">
        <v>-0.12114204451731</v>
      </c>
      <c r="FC221" s="5">
        <v>9.1857340418289593E-2</v>
      </c>
      <c r="FD221" s="5">
        <v>-0.108009552020035</v>
      </c>
      <c r="FE221" s="5">
        <v>0.240792897353343</v>
      </c>
      <c r="FF221" s="5">
        <v>-7.3204689156926503E-2</v>
      </c>
      <c r="FG221" s="5">
        <v>1.6338076826196101E-2</v>
      </c>
      <c r="FH221" s="5">
        <v>0.127138918514307</v>
      </c>
      <c r="FI221" s="5">
        <v>8.9065202366479398E-2</v>
      </c>
      <c r="FJ221" s="5">
        <v>-0.13743473975071699</v>
      </c>
      <c r="FK221" s="5">
        <v>0.32974993480180098</v>
      </c>
      <c r="FL221" s="5">
        <v>3.4680338016733002E-2</v>
      </c>
      <c r="FM221" s="5">
        <v>-5.4676988833761202E-2</v>
      </c>
      <c r="FN221" s="5">
        <v>-0.18623660791455701</v>
      </c>
      <c r="FO221" s="5">
        <v>0.29489565340503499</v>
      </c>
      <c r="FP221" s="5">
        <v>-0.20312581650577599</v>
      </c>
      <c r="FQ221" s="5">
        <v>0.28978611421244999</v>
      </c>
      <c r="FR221" s="5">
        <v>0.18105182339811299</v>
      </c>
      <c r="FS221" s="5">
        <v>-0.13196314362970399</v>
      </c>
      <c r="FT221" s="5">
        <v>-0.15309819183182599</v>
      </c>
      <c r="FU221" s="5">
        <v>0.19864529535115999</v>
      </c>
      <c r="FV221" s="5">
        <v>-0.18195834584197301</v>
      </c>
      <c r="FW221" s="5">
        <v>0.249130104423118</v>
      </c>
      <c r="FX221" s="5">
        <v>-0.26384589948186499</v>
      </c>
      <c r="FY221" s="5">
        <v>0.39594862733832098</v>
      </c>
      <c r="FZ221" s="5">
        <v>-0.17635794226923701</v>
      </c>
      <c r="GA221" s="5">
        <v>0.23464034916285101</v>
      </c>
      <c r="GB221" s="5">
        <v>-9.0064112138452501E-2</v>
      </c>
      <c r="GC221" s="5">
        <v>6.0957095066484702E-2</v>
      </c>
      <c r="GD221" s="5">
        <v>0.15080392409500701</v>
      </c>
      <c r="GE221" s="5">
        <v>-0.221872199092088</v>
      </c>
      <c r="GF221" s="5">
        <v>-0.190823969260596</v>
      </c>
      <c r="GG221" s="5">
        <v>0.51612123146815603</v>
      </c>
      <c r="GH221" s="5">
        <v>0.24829025897347701</v>
      </c>
      <c r="GI221" s="5">
        <v>-0.45360277790571502</v>
      </c>
      <c r="GJ221" s="5">
        <v>-0.13310881953207901</v>
      </c>
      <c r="GK221" s="5">
        <v>0.37267139364352703</v>
      </c>
      <c r="GL221" s="5">
        <v>-0.34273261855970699</v>
      </c>
      <c r="GM221" s="5">
        <v>0.42073489336833603</v>
      </c>
      <c r="GN221" s="5">
        <v>-0.101518383909382</v>
      </c>
      <c r="GO221" s="5">
        <v>0.10296813692218899</v>
      </c>
      <c r="GP221" s="5">
        <v>-0.28836732191724501</v>
      </c>
      <c r="GQ221" s="5">
        <v>0.39634827242013698</v>
      </c>
      <c r="GR221" s="5">
        <v>-0.141247599150396</v>
      </c>
      <c r="GS221" s="5">
        <v>0.38132521798505897</v>
      </c>
      <c r="GT221" s="5">
        <v>-0.17830248840937701</v>
      </c>
      <c r="GU221" s="5">
        <v>0.171776048484788</v>
      </c>
      <c r="GV221" s="5">
        <v>-4.11250373868218E-2</v>
      </c>
      <c r="GW221" s="5">
        <v>0.38330344632529401</v>
      </c>
      <c r="GX221" s="5">
        <v>7.1184591892010096E-2</v>
      </c>
      <c r="GY221" s="5">
        <v>1.01518581644536E-2</v>
      </c>
      <c r="GZ221" s="5">
        <v>6.0796849217404803E-2</v>
      </c>
      <c r="HA221" s="5">
        <v>-0.177422159070973</v>
      </c>
      <c r="HB221" s="5">
        <v>-0.149911069923259</v>
      </c>
      <c r="HC221" s="5">
        <v>0.41607181177483699</v>
      </c>
      <c r="HD221" s="5">
        <v>-0.10446340602191299</v>
      </c>
      <c r="HE221" s="5">
        <v>0.157935277349086</v>
      </c>
      <c r="HF221" s="5">
        <v>-2.0487922899821098E-2</v>
      </c>
      <c r="HG221" s="5">
        <v>-2.29943107511822E-2</v>
      </c>
      <c r="HH221" s="5">
        <v>2.0310307397480801E-2</v>
      </c>
      <c r="HI221" s="5">
        <v>-0.115295461836426</v>
      </c>
      <c r="HJ221" s="5">
        <v>-1.4647127946379099E-2</v>
      </c>
      <c r="HK221" s="5">
        <v>-2.2766611207281E-2</v>
      </c>
      <c r="HL221" s="5">
        <v>-0.75619151526434303</v>
      </c>
      <c r="HM221" s="5">
        <v>1</v>
      </c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</row>
    <row r="222" spans="1:389" x14ac:dyDescent="0.45">
      <c r="A222" s="4" t="str">
        <f ca="1">"MDA / beta1dist in "&amp;CELL("address",'damages-1990'!$J$112)</f>
        <v>MDA / beta1dist in '[BHM betas v3pd.xlsx]damages-1990'!$J$112</v>
      </c>
      <c r="B222" s="6">
        <v>0.47635767906008702</v>
      </c>
      <c r="C222" s="5">
        <v>-0.20971112634442399</v>
      </c>
      <c r="D222" s="5">
        <v>0.227448748672475</v>
      </c>
      <c r="E222" s="5">
        <v>-0.220913266962454</v>
      </c>
      <c r="F222" s="5">
        <v>0.69934765203292504</v>
      </c>
      <c r="G222" s="5">
        <v>-0.50535030237342404</v>
      </c>
      <c r="H222" s="5">
        <v>0.457712641549816</v>
      </c>
      <c r="I222" s="5">
        <v>-0.27859089671410803</v>
      </c>
      <c r="J222" s="5">
        <v>-1.4883468926895399E-2</v>
      </c>
      <c r="K222" s="5">
        <v>1.5780452512576899E-3</v>
      </c>
      <c r="L222" s="5">
        <v>0.32678325293430599</v>
      </c>
      <c r="M222" s="5">
        <v>-7.8385968483989599E-2</v>
      </c>
      <c r="N222" s="5">
        <v>0.53617821707473201</v>
      </c>
      <c r="O222" s="5">
        <v>-0.23748455605938601</v>
      </c>
      <c r="P222" s="5">
        <v>7.4614790130252601E-2</v>
      </c>
      <c r="Q222" s="5">
        <v>-8.9669431665449106E-2</v>
      </c>
      <c r="R222" s="5">
        <v>8.4310007285417196E-2</v>
      </c>
      <c r="S222" s="5">
        <v>-3.2533864147883597E-2</v>
      </c>
      <c r="T222" s="5">
        <v>0.64628384163492703</v>
      </c>
      <c r="U222" s="5">
        <v>-0.48465543081013901</v>
      </c>
      <c r="V222" s="5">
        <v>0.54832056122365502</v>
      </c>
      <c r="W222" s="5">
        <v>-0.335953308416584</v>
      </c>
      <c r="X222" s="5">
        <v>0.204063630869846</v>
      </c>
      <c r="Y222" s="5">
        <v>-0.129428004778709</v>
      </c>
      <c r="Z222" s="5">
        <v>0.67928026821093102</v>
      </c>
      <c r="AA222" s="5">
        <v>-0.50920355926853</v>
      </c>
      <c r="AB222" s="5">
        <v>0.11643571960658999</v>
      </c>
      <c r="AC222" s="5">
        <v>-0.102801643071986</v>
      </c>
      <c r="AD222" s="5">
        <v>0.147948297617889</v>
      </c>
      <c r="AE222" s="5">
        <v>-0.11506419746855701</v>
      </c>
      <c r="AF222" s="5">
        <v>2.9544702738443E-2</v>
      </c>
      <c r="AG222" s="5">
        <v>-3.0979815368656499E-2</v>
      </c>
      <c r="AH222" s="5">
        <v>0.814188875501063</v>
      </c>
      <c r="AI222" s="5">
        <v>-0.63520816820817805</v>
      </c>
      <c r="AJ222" s="5">
        <v>-4.5722602417698301E-2</v>
      </c>
      <c r="AK222" s="5">
        <v>1.0017590781714899E-2</v>
      </c>
      <c r="AL222" s="5">
        <v>-0.123668504871112</v>
      </c>
      <c r="AM222" s="5">
        <v>0.155308680320419</v>
      </c>
      <c r="AN222" s="5">
        <v>0.76639950001651003</v>
      </c>
      <c r="AO222" s="5">
        <v>-0.577241102948994</v>
      </c>
      <c r="AP222" s="5">
        <v>0.70552314242664205</v>
      </c>
      <c r="AQ222" s="5">
        <v>-0.54544545163934599</v>
      </c>
      <c r="AR222" s="5">
        <v>1.9006773826326099E-2</v>
      </c>
      <c r="AS222" s="5">
        <v>-2.42136316643435E-2</v>
      </c>
      <c r="AT222" s="5">
        <v>-0.11712475531872001</v>
      </c>
      <c r="AU222" s="5">
        <v>0.152270374337514</v>
      </c>
      <c r="AV222" s="5">
        <v>7.7255958526966498E-2</v>
      </c>
      <c r="AW222" s="5">
        <v>-5.56004624187484E-2</v>
      </c>
      <c r="AX222" s="5">
        <v>3.5287620284953199E-2</v>
      </c>
      <c r="AY222" s="5">
        <v>-8.3132975477720597E-2</v>
      </c>
      <c r="AZ222" s="5">
        <v>9.5541155102680006E-2</v>
      </c>
      <c r="BA222" s="5">
        <v>-8.79344353749478E-2</v>
      </c>
      <c r="BB222" s="5">
        <v>9.2373865085766393E-2</v>
      </c>
      <c r="BC222" s="5">
        <v>-0.12984225138361899</v>
      </c>
      <c r="BD222" s="5">
        <v>0.60921375472959105</v>
      </c>
      <c r="BE222" s="5">
        <v>-0.311919748497203</v>
      </c>
      <c r="BF222" s="5">
        <v>0.16678005972408599</v>
      </c>
      <c r="BG222" s="5">
        <v>-0.17528105588349899</v>
      </c>
      <c r="BH222" s="5">
        <v>0.103011025348938</v>
      </c>
      <c r="BI222" s="5">
        <v>-7.7856159454164395E-2</v>
      </c>
      <c r="BJ222" s="5">
        <v>0.36778108890150901</v>
      </c>
      <c r="BK222" s="5">
        <v>-0.105120144019655</v>
      </c>
      <c r="BL222" s="5">
        <v>0.59083995922793098</v>
      </c>
      <c r="BM222" s="5">
        <v>-0.43832435165689299</v>
      </c>
      <c r="BN222" s="5">
        <v>0.436792334758209</v>
      </c>
      <c r="BO222" s="5">
        <v>-7.5808091648758305E-2</v>
      </c>
      <c r="BP222" s="5">
        <v>0.60107329256083297</v>
      </c>
      <c r="BQ222" s="5">
        <v>-0.320267155792133</v>
      </c>
      <c r="BR222" s="5">
        <v>0.12859517746643201</v>
      </c>
      <c r="BS222" s="5">
        <v>-8.8915225745859902E-2</v>
      </c>
      <c r="BT222" s="5">
        <v>8.2670955029155599E-2</v>
      </c>
      <c r="BU222" s="5">
        <v>-5.8561881862087599E-2</v>
      </c>
      <c r="BV222" s="5">
        <v>0.11394958291783799</v>
      </c>
      <c r="BW222" s="5">
        <v>-0.110032970174542</v>
      </c>
      <c r="BX222" s="5">
        <v>7.9212291926086698E-2</v>
      </c>
      <c r="BY222" s="5">
        <v>-7.5274629731114498E-2</v>
      </c>
      <c r="BZ222" s="5">
        <v>6.8514002711745001E-2</v>
      </c>
      <c r="CA222" s="5">
        <v>-0.10198120378316899</v>
      </c>
      <c r="CB222" s="5">
        <v>3.6522168877935197E-2</v>
      </c>
      <c r="CC222" s="5">
        <v>-1.2594818606727299E-2</v>
      </c>
      <c r="CD222" s="5">
        <v>0.112140613333338</v>
      </c>
      <c r="CE222" s="5">
        <v>-7.4121382576895004E-2</v>
      </c>
      <c r="CF222" s="5">
        <v>0.10070566777276201</v>
      </c>
      <c r="CG222" s="5">
        <v>-9.5980892354669098E-2</v>
      </c>
      <c r="CH222" s="5">
        <v>-0.11686353160568699</v>
      </c>
      <c r="CI222" s="5">
        <v>0.124805109482673</v>
      </c>
      <c r="CJ222" s="5">
        <v>7.7692881512995401E-2</v>
      </c>
      <c r="CK222" s="5">
        <v>-1.6552931018123902E-2</v>
      </c>
      <c r="CL222" s="5">
        <v>0.708571199894658</v>
      </c>
      <c r="CM222" s="5">
        <v>-0.54719047503815799</v>
      </c>
      <c r="CN222" s="5">
        <v>0.71289132786159404</v>
      </c>
      <c r="CO222" s="5">
        <v>-0.55416994876598802</v>
      </c>
      <c r="CP222" s="5">
        <v>7.5384289015763703E-2</v>
      </c>
      <c r="CQ222" s="5">
        <v>-3.95870418734992E-2</v>
      </c>
      <c r="CR222" s="5">
        <v>0.101232333184372</v>
      </c>
      <c r="CS222" s="5">
        <v>-7.43471435700057E-2</v>
      </c>
      <c r="CT222" s="5">
        <v>0.58309223718576497</v>
      </c>
      <c r="CU222" s="5">
        <v>-0.43698751379084799</v>
      </c>
      <c r="CV222" s="5">
        <v>8.3487149505705099E-2</v>
      </c>
      <c r="CW222" s="5">
        <v>-6.9184490910706595E-2</v>
      </c>
      <c r="CX222" s="5">
        <v>7.1224969375208905E-2</v>
      </c>
      <c r="CY222" s="5">
        <v>-6.0689173080160398E-2</v>
      </c>
      <c r="CZ222" s="5">
        <v>0.13630361993000001</v>
      </c>
      <c r="DA222" s="5">
        <v>-0.13719388293408999</v>
      </c>
      <c r="DB222" s="5">
        <v>6.7835137999320196E-3</v>
      </c>
      <c r="DC222" s="5">
        <v>-9.9511933561474107E-3</v>
      </c>
      <c r="DD222" s="5">
        <v>0.14041778864398799</v>
      </c>
      <c r="DE222" s="5">
        <v>-9.75771547402315E-2</v>
      </c>
      <c r="DF222" s="5">
        <v>3.8953913042929202E-2</v>
      </c>
      <c r="DG222" s="5">
        <v>-2.9513498639082199E-3</v>
      </c>
      <c r="DH222" s="5">
        <v>0.48754076558696902</v>
      </c>
      <c r="DI222" s="5">
        <v>-0.26163466454810902</v>
      </c>
      <c r="DJ222" s="5">
        <v>0.56825055898717103</v>
      </c>
      <c r="DK222" s="5">
        <v>-0.41928752789639601</v>
      </c>
      <c r="DL222" s="5">
        <v>0.17525460685520799</v>
      </c>
      <c r="DM222" s="5">
        <v>-9.7048260314208504E-2</v>
      </c>
      <c r="DN222" s="5">
        <v>0.47409957139078501</v>
      </c>
      <c r="DO222" s="5">
        <v>-0.31769885964585998</v>
      </c>
      <c r="DP222" s="5">
        <v>8.7325463149015306E-2</v>
      </c>
      <c r="DQ222" s="5">
        <v>-2.2775061336416599E-2</v>
      </c>
      <c r="DR222" s="5">
        <v>0.68188757621814999</v>
      </c>
      <c r="DS222" s="5">
        <v>-0.49463467556610902</v>
      </c>
      <c r="DT222" s="5">
        <v>1.1899920568745099E-2</v>
      </c>
      <c r="DU222" s="5">
        <v>1.2651658818830999E-2</v>
      </c>
      <c r="DV222" s="5">
        <v>0.100470145348779</v>
      </c>
      <c r="DW222" s="5">
        <v>-9.9678631826695799E-2</v>
      </c>
      <c r="DX222" s="5">
        <v>0.56229850678970905</v>
      </c>
      <c r="DY222" s="5">
        <v>-0.36408985665952498</v>
      </c>
      <c r="DZ222" s="5">
        <v>0.63403233772688505</v>
      </c>
      <c r="EA222" s="5">
        <v>-0.36209263264595998</v>
      </c>
      <c r="EB222" s="5">
        <v>0.113130014162951</v>
      </c>
      <c r="EC222" s="5">
        <v>-8.6415399507127497E-2</v>
      </c>
      <c r="ED222" s="5">
        <v>9.6171451010739595E-2</v>
      </c>
      <c r="EE222" s="5">
        <v>-5.0569277798324597E-2</v>
      </c>
      <c r="EF222" s="5">
        <v>9.4865047956775597E-2</v>
      </c>
      <c r="EG222" s="5">
        <v>-8.4520310205658394E-2</v>
      </c>
      <c r="EH222" s="5">
        <v>0.15129967449503201</v>
      </c>
      <c r="EI222" s="5">
        <v>-0.13859991657597401</v>
      </c>
      <c r="EJ222" s="5">
        <v>0.15657735741787099</v>
      </c>
      <c r="EK222" s="5">
        <v>-0.13358692310220099</v>
      </c>
      <c r="EL222" s="5">
        <v>4.4513105689524601E-2</v>
      </c>
      <c r="EM222" s="5">
        <v>-8.5626683162011302E-3</v>
      </c>
      <c r="EN222" s="5">
        <v>0.37053545482956601</v>
      </c>
      <c r="EO222" s="5">
        <v>-0.18399973942877901</v>
      </c>
      <c r="EP222" s="5">
        <v>9.8110451302291402E-2</v>
      </c>
      <c r="EQ222" s="5">
        <v>-8.7108450494985001E-2</v>
      </c>
      <c r="ER222" s="5">
        <v>9.6338792660779202E-2</v>
      </c>
      <c r="ES222" s="5">
        <v>-8.3358728270191695E-2</v>
      </c>
      <c r="ET222" s="5">
        <v>5.4824318957042699E-2</v>
      </c>
      <c r="EU222" s="5">
        <v>-9.2062246727528593E-2</v>
      </c>
      <c r="EV222" s="5">
        <v>3.3280198623404401E-2</v>
      </c>
      <c r="EW222" s="5">
        <v>-9.08024616246077E-2</v>
      </c>
      <c r="EX222" s="5">
        <v>4.4356485030040999E-2</v>
      </c>
      <c r="EY222" s="5">
        <v>-5.5344558268021003E-2</v>
      </c>
      <c r="EZ222" s="5">
        <v>0.102091538329802</v>
      </c>
      <c r="FA222" s="5">
        <v>-9.1509542402743393E-2</v>
      </c>
      <c r="FB222" s="5">
        <v>0.76273611570334898</v>
      </c>
      <c r="FC222" s="5">
        <v>-0.59835701557508802</v>
      </c>
      <c r="FD222" s="5">
        <v>5.6929512511537203E-2</v>
      </c>
      <c r="FE222" s="5">
        <v>-3.7891769394509299E-2</v>
      </c>
      <c r="FF222" s="5">
        <v>0.82098146752283097</v>
      </c>
      <c r="FG222" s="5">
        <v>-0.65707297657253905</v>
      </c>
      <c r="FH222" s="5">
        <v>-2.8059060019845299E-2</v>
      </c>
      <c r="FI222" s="5">
        <v>7.9577857144917996E-2</v>
      </c>
      <c r="FJ222" s="5">
        <v>0.13938556679869299</v>
      </c>
      <c r="FK222" s="5">
        <v>-0.11881496996127799</v>
      </c>
      <c r="FL222" s="5">
        <v>0.48393781492291299</v>
      </c>
      <c r="FM222" s="5">
        <v>-0.21570641691267201</v>
      </c>
      <c r="FN222" s="5">
        <v>0.27113741237106098</v>
      </c>
      <c r="FO222" s="5">
        <v>-0.13437154348010599</v>
      </c>
      <c r="FP222" s="5">
        <v>1.1964240625575899E-2</v>
      </c>
      <c r="FQ222" s="5">
        <v>1.6409992416499101E-2</v>
      </c>
      <c r="FR222" s="5">
        <v>9.2809849894875104E-2</v>
      </c>
      <c r="FS222" s="5">
        <v>0.175394179480127</v>
      </c>
      <c r="FT222" s="5">
        <v>0.10909043880553</v>
      </c>
      <c r="FU222" s="5">
        <v>-5.3819601821571403E-2</v>
      </c>
      <c r="FV222" s="5">
        <v>0.66438847149535296</v>
      </c>
      <c r="FW222" s="5">
        <v>-0.51979495438713497</v>
      </c>
      <c r="FX222" s="5">
        <v>1.1789078945050699E-3</v>
      </c>
      <c r="FY222" s="5">
        <v>1.6316207513399801E-2</v>
      </c>
      <c r="FZ222" s="5">
        <v>0.14818327992934699</v>
      </c>
      <c r="GA222" s="5">
        <v>-8.1057090866387793E-2</v>
      </c>
      <c r="GB222" s="5">
        <v>0.76726685169453901</v>
      </c>
      <c r="GC222" s="5">
        <v>-0.60206857959188298</v>
      </c>
      <c r="GD222" s="5">
        <v>0.57322723349679205</v>
      </c>
      <c r="GE222" s="5">
        <v>-0.35731917087793602</v>
      </c>
      <c r="GF222" s="5">
        <v>9.8799541347289799E-2</v>
      </c>
      <c r="GG222" s="5">
        <v>-7.9781486847599198E-2</v>
      </c>
      <c r="GH222" s="5">
        <v>0.28183582285609199</v>
      </c>
      <c r="GI222" s="5">
        <v>4.42496262969004E-2</v>
      </c>
      <c r="GJ222" s="5">
        <v>2.28338960279919E-2</v>
      </c>
      <c r="GK222" s="5">
        <v>-3.83222302514667E-2</v>
      </c>
      <c r="GL222" s="5">
        <v>7.8575576394236096E-2</v>
      </c>
      <c r="GM222" s="5">
        <v>-8.0398825097441895E-2</v>
      </c>
      <c r="GN222" s="5">
        <v>0.70566205874380195</v>
      </c>
      <c r="GO222" s="5">
        <v>-0.54117208376211201</v>
      </c>
      <c r="GP222" s="5">
        <v>-2.0588031923437299E-2</v>
      </c>
      <c r="GQ222" s="5">
        <v>-8.8778770573749496E-3</v>
      </c>
      <c r="GR222" s="5">
        <v>8.3967651809636404E-2</v>
      </c>
      <c r="GS222" s="5">
        <v>-6.3608187642093403E-2</v>
      </c>
      <c r="GT222" s="5">
        <v>0.32943677169841401</v>
      </c>
      <c r="GU222" s="5">
        <v>-0.13551773099853301</v>
      </c>
      <c r="GV222" s="5">
        <v>9.0276846083055598E-2</v>
      </c>
      <c r="GW222" s="5">
        <v>-5.1771876606803997E-2</v>
      </c>
      <c r="GX222" s="5">
        <v>8.7997457558841204E-3</v>
      </c>
      <c r="GY222" s="5">
        <v>-7.7028297962929097E-3</v>
      </c>
      <c r="GZ222" s="5">
        <v>0.59852817940061198</v>
      </c>
      <c r="HA222" s="5">
        <v>-0.45147808583126198</v>
      </c>
      <c r="HB222" s="5">
        <v>-6.97907969314044E-3</v>
      </c>
      <c r="HC222" s="5">
        <v>-9.1736918500949505E-3</v>
      </c>
      <c r="HD222" s="5">
        <v>0.42612503310838601</v>
      </c>
      <c r="HE222" s="5">
        <v>-1.9288682583491E-2</v>
      </c>
      <c r="HF222" s="5">
        <v>0.65436866471882504</v>
      </c>
      <c r="HG222" s="5">
        <v>-0.50448826364183497</v>
      </c>
      <c r="HH222" s="5">
        <v>0.68149824968277395</v>
      </c>
      <c r="HI222" s="5">
        <v>-0.51682061079911901</v>
      </c>
      <c r="HJ222" s="5">
        <v>0.61643452458417203</v>
      </c>
      <c r="HK222" s="5">
        <v>-0.47054538818408798</v>
      </c>
      <c r="HL222" s="5">
        <v>0.213720567539047</v>
      </c>
      <c r="HM222" s="5">
        <v>-7.0693062904266801E-2</v>
      </c>
      <c r="HN222" s="5">
        <v>1</v>
      </c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</row>
    <row r="223" spans="1:389" x14ac:dyDescent="0.45">
      <c r="A223" s="4" t="str">
        <f ca="1">"MDA / beta2dist in "&amp;CELL("address",'damages-1990'!$K$112)</f>
        <v>MDA / beta2dist in '[BHM betas v3pd.xlsx]damages-1990'!$K$112</v>
      </c>
      <c r="B223" s="6">
        <v>-0.12550020987596</v>
      </c>
      <c r="C223" s="5">
        <v>0.15785177488889199</v>
      </c>
      <c r="D223" s="5">
        <v>-7.8698336552852896E-2</v>
      </c>
      <c r="E223" s="5">
        <v>0.27092625888377703</v>
      </c>
      <c r="F223" s="5">
        <v>-0.43189962782695501</v>
      </c>
      <c r="G223" s="5">
        <v>0.53125609312714595</v>
      </c>
      <c r="H223" s="5">
        <v>-0.399255592490452</v>
      </c>
      <c r="I223" s="5">
        <v>0.354799140826632</v>
      </c>
      <c r="J223" s="5">
        <v>0.17936009772757</v>
      </c>
      <c r="K223" s="5">
        <v>2.1743649556416902E-3</v>
      </c>
      <c r="L223" s="5">
        <v>-1.6881448438989002E-2</v>
      </c>
      <c r="M223" s="5">
        <v>3.11244133290756E-2</v>
      </c>
      <c r="N223" s="5">
        <v>-0.35631709274308598</v>
      </c>
      <c r="O223" s="5">
        <v>0.25315028255438199</v>
      </c>
      <c r="P223" s="5">
        <v>-3.7553829379428201E-2</v>
      </c>
      <c r="Q223" s="5">
        <v>0.15806406741183199</v>
      </c>
      <c r="R223" s="5">
        <v>0.145229979185755</v>
      </c>
      <c r="S223" s="5">
        <v>1.07817136442153E-3</v>
      </c>
      <c r="T223" s="5">
        <v>-0.61435182686026601</v>
      </c>
      <c r="U223" s="5">
        <v>0.61963628684791905</v>
      </c>
      <c r="V223" s="5">
        <v>-0.212721221848126</v>
      </c>
      <c r="W223" s="5">
        <v>0.300757182157181</v>
      </c>
      <c r="X223" s="5">
        <v>-3.3368459623491102E-2</v>
      </c>
      <c r="Y223" s="5">
        <v>0.16205365940677</v>
      </c>
      <c r="Z223" s="5">
        <v>-0.52842712506668899</v>
      </c>
      <c r="AA223" s="5">
        <v>0.60191853704512499</v>
      </c>
      <c r="AB223" s="5">
        <v>-5.0551556433133901E-2</v>
      </c>
      <c r="AC223" s="5">
        <v>0.14982216536956799</v>
      </c>
      <c r="AD223" s="5">
        <v>-8.3892136275917198E-2</v>
      </c>
      <c r="AE223" s="5">
        <v>0.17597854801733701</v>
      </c>
      <c r="AF223" s="5">
        <v>0.11194143887621601</v>
      </c>
      <c r="AG223" s="5">
        <v>3.2953344707851898E-2</v>
      </c>
      <c r="AH223" s="5">
        <v>-0.60460856546736197</v>
      </c>
      <c r="AI223" s="5">
        <v>0.71522448819989803</v>
      </c>
      <c r="AJ223" s="5">
        <v>0.209165110323241</v>
      </c>
      <c r="AK223" s="5">
        <v>-1.0055749818997E-2</v>
      </c>
      <c r="AL223" s="5">
        <v>0.27608749285630801</v>
      </c>
      <c r="AM223" s="5">
        <v>-0.219420331463864</v>
      </c>
      <c r="AN223" s="5">
        <v>-0.60940166335074597</v>
      </c>
      <c r="AO223" s="5">
        <v>0.67915508249123102</v>
      </c>
      <c r="AP223" s="5">
        <v>-0.68882706976262797</v>
      </c>
      <c r="AQ223" s="5">
        <v>0.694717372614025</v>
      </c>
      <c r="AR223" s="5">
        <v>0.100153209284297</v>
      </c>
      <c r="AS223" s="5">
        <v>4.6041454764417199E-2</v>
      </c>
      <c r="AT223" s="5">
        <v>0.29644923746262802</v>
      </c>
      <c r="AU223" s="5">
        <v>-0.24978279292254299</v>
      </c>
      <c r="AV223" s="5">
        <v>0.13787961561918299</v>
      </c>
      <c r="AW223" s="5">
        <v>3.2805499145278097E-2</v>
      </c>
      <c r="AX223" s="5">
        <v>0.128150289960939</v>
      </c>
      <c r="AY223" s="5">
        <v>9.3455120913619294E-2</v>
      </c>
      <c r="AZ223" s="5">
        <v>-5.2863659167708597E-2</v>
      </c>
      <c r="BA223" s="5">
        <v>0.14159300460426999</v>
      </c>
      <c r="BB223" s="5">
        <v>2.1236331088346501E-2</v>
      </c>
      <c r="BC223" s="5">
        <v>0.201096431734891</v>
      </c>
      <c r="BD223" s="5">
        <v>-0.30598659572436698</v>
      </c>
      <c r="BE223" s="5">
        <v>0.31723301525352199</v>
      </c>
      <c r="BF223" s="5">
        <v>-6.8165940177339707E-2</v>
      </c>
      <c r="BG223" s="5">
        <v>0.24143197748305001</v>
      </c>
      <c r="BH223" s="5">
        <v>2.4611498897618801E-2</v>
      </c>
      <c r="BI223" s="5">
        <v>0.11479373458035699</v>
      </c>
      <c r="BJ223" s="5">
        <v>-0.37801372376081999</v>
      </c>
      <c r="BK223" s="5">
        <v>0.172860893927304</v>
      </c>
      <c r="BL223" s="5">
        <v>-0.55572012314479002</v>
      </c>
      <c r="BM223" s="5">
        <v>0.55879081829245802</v>
      </c>
      <c r="BN223" s="5">
        <v>-0.187282163222172</v>
      </c>
      <c r="BO223" s="5">
        <v>4.7195599071275102E-2</v>
      </c>
      <c r="BP223" s="5">
        <v>-0.38853931220697602</v>
      </c>
      <c r="BQ223" s="5">
        <v>0.31936752950227998</v>
      </c>
      <c r="BR223" s="5">
        <v>-7.2097502852283502E-2</v>
      </c>
      <c r="BS223" s="5">
        <v>0.15753917836143599</v>
      </c>
      <c r="BT223" s="5">
        <v>6.6240096224239903E-2</v>
      </c>
      <c r="BU223" s="5">
        <v>8.9007773179866106E-2</v>
      </c>
      <c r="BV223" s="5">
        <v>2.2208888303503201E-2</v>
      </c>
      <c r="BW223" s="5">
        <v>0.147709352267445</v>
      </c>
      <c r="BX223" s="5">
        <v>3.05300276003585E-2</v>
      </c>
      <c r="BY223" s="5">
        <v>0.115421877667397</v>
      </c>
      <c r="BZ223" s="5">
        <v>4.7863039059168298E-2</v>
      </c>
      <c r="CA223" s="5">
        <v>0.13698619424172601</v>
      </c>
      <c r="CB223" s="5">
        <v>6.1514933525861203E-2</v>
      </c>
      <c r="CC223" s="5">
        <v>3.17367638652599E-2</v>
      </c>
      <c r="CD223" s="5">
        <v>2.7599534341557801E-2</v>
      </c>
      <c r="CE223" s="5">
        <v>4.2811676951433002E-2</v>
      </c>
      <c r="CF223" s="5">
        <v>-1.61411403178678E-2</v>
      </c>
      <c r="CG223" s="5">
        <v>0.114957149261914</v>
      </c>
      <c r="CH223" s="5">
        <v>0.246647783836458</v>
      </c>
      <c r="CI223" s="5">
        <v>-0.16766184041391599</v>
      </c>
      <c r="CJ223" s="5">
        <v>0.13873166439652199</v>
      </c>
      <c r="CK223" s="5">
        <v>-1.9539821433627601E-2</v>
      </c>
      <c r="CL223" s="5">
        <v>-0.63878929805231299</v>
      </c>
      <c r="CM223" s="5">
        <v>0.68100028424619596</v>
      </c>
      <c r="CN223" s="5">
        <v>-0.60365295598422097</v>
      </c>
      <c r="CO223" s="5">
        <v>0.67366944574092102</v>
      </c>
      <c r="CP223" s="5">
        <v>-2.26386159878318E-2</v>
      </c>
      <c r="CQ223" s="5">
        <v>7.2318519509408902E-2</v>
      </c>
      <c r="CR223" s="5">
        <v>-3.7702121688547897E-2</v>
      </c>
      <c r="CS223" s="5">
        <v>0.137346632732673</v>
      </c>
      <c r="CT223" s="5">
        <v>-0.53915773232602704</v>
      </c>
      <c r="CU223" s="5">
        <v>0.55924941791272997</v>
      </c>
      <c r="CV223" s="5">
        <v>-2.6567024563923299E-2</v>
      </c>
      <c r="CW223" s="5">
        <v>0.13171216701319199</v>
      </c>
      <c r="CX223" s="5">
        <v>0.108382574998221</v>
      </c>
      <c r="CY223" s="5">
        <v>6.7419292730355004E-2</v>
      </c>
      <c r="CZ223" s="5">
        <v>-1.9009651611179498E-2</v>
      </c>
      <c r="DA223" s="5">
        <v>0.18162720413699199</v>
      </c>
      <c r="DB223" s="5">
        <v>0.219350472663773</v>
      </c>
      <c r="DC223" s="5">
        <v>-1.20660734799364E-2</v>
      </c>
      <c r="DD223" s="5">
        <v>-7.1445240996796597E-2</v>
      </c>
      <c r="DE223" s="5">
        <v>0.151118027234693</v>
      </c>
      <c r="DF223" s="5">
        <v>0.17627492864456301</v>
      </c>
      <c r="DG223" s="5">
        <v>-6.4475764656616794E-2</v>
      </c>
      <c r="DH223" s="5">
        <v>-0.15806037748916901</v>
      </c>
      <c r="DI223" s="5">
        <v>0.212292987172291</v>
      </c>
      <c r="DJ223" s="5">
        <v>-0.56545947888940695</v>
      </c>
      <c r="DK223" s="5">
        <v>0.55449963699287697</v>
      </c>
      <c r="DL223" s="5">
        <v>-4.3014243110008399E-2</v>
      </c>
      <c r="DM223" s="5">
        <v>0.14064737306739</v>
      </c>
      <c r="DN223" s="5">
        <v>-0.489392190017021</v>
      </c>
      <c r="DO223" s="5">
        <v>0.44427908435727798</v>
      </c>
      <c r="DP223" s="5">
        <v>6.15834323187077E-2</v>
      </c>
      <c r="DQ223" s="5">
        <v>2.2647577163405E-2</v>
      </c>
      <c r="DR223" s="5">
        <v>-0.44205861785682998</v>
      </c>
      <c r="DS223" s="5">
        <v>0.53548804212724699</v>
      </c>
      <c r="DT223" s="5">
        <v>4.1479123364068803E-2</v>
      </c>
      <c r="DU223" s="5">
        <v>5.2778907014716797E-3</v>
      </c>
      <c r="DV223" s="5">
        <v>-3.0315407928498898E-2</v>
      </c>
      <c r="DW223" s="5">
        <v>0.153101380279034</v>
      </c>
      <c r="DX223" s="5">
        <v>-0.4323907543935</v>
      </c>
      <c r="DY223" s="5">
        <v>0.416164843794952</v>
      </c>
      <c r="DZ223" s="5">
        <v>-0.45182249203941899</v>
      </c>
      <c r="EA223" s="5">
        <v>0.402721446862921</v>
      </c>
      <c r="EB223" s="5">
        <v>-3.8228843507733201E-2</v>
      </c>
      <c r="EC223" s="5">
        <v>0.13874168874106499</v>
      </c>
      <c r="ED223" s="5">
        <v>1.6163225241959098E-2</v>
      </c>
      <c r="EE223" s="5">
        <v>9.0787657086443804E-2</v>
      </c>
      <c r="EF223" s="5">
        <v>-5.2288574171116001E-2</v>
      </c>
      <c r="EG223" s="5">
        <v>0.15457547091695201</v>
      </c>
      <c r="EH223" s="5">
        <v>-1.35533688911021E-2</v>
      </c>
      <c r="EI223" s="5">
        <v>0.16073283829814999</v>
      </c>
      <c r="EJ223" s="5">
        <v>-2.2267978861570299E-2</v>
      </c>
      <c r="EK223" s="5">
        <v>0.16409644383122701</v>
      </c>
      <c r="EL223" s="5">
        <v>0.123427550188743</v>
      </c>
      <c r="EM223" s="5">
        <v>-1.34633167016207E-2</v>
      </c>
      <c r="EN223" s="5">
        <v>-8.2919744646464399E-2</v>
      </c>
      <c r="EO223" s="5">
        <v>0.145046971313946</v>
      </c>
      <c r="EP223" s="5">
        <v>-5.8649870586767301E-2</v>
      </c>
      <c r="EQ223" s="5">
        <v>0.14843624953753401</v>
      </c>
      <c r="ER223" s="5">
        <v>4.9301785090863297E-2</v>
      </c>
      <c r="ES223" s="5">
        <v>0.111942886720515</v>
      </c>
      <c r="ET223" s="5">
        <v>7.8062451427760401E-2</v>
      </c>
      <c r="EU223" s="5">
        <v>9.7173617428036194E-2</v>
      </c>
      <c r="EV223" s="5">
        <v>9.7763363226704397E-2</v>
      </c>
      <c r="EW223" s="5">
        <v>0.100648269379106</v>
      </c>
      <c r="EX223" s="5">
        <v>0.13111893153100501</v>
      </c>
      <c r="EY223" s="5">
        <v>3.2870438876101103E-2</v>
      </c>
      <c r="EZ223" s="5">
        <v>1.72049462041136E-2</v>
      </c>
      <c r="FA223" s="5">
        <v>0.13956689824347401</v>
      </c>
      <c r="FB223" s="5">
        <v>-0.53631454730269701</v>
      </c>
      <c r="FC223" s="5">
        <v>0.66106689103230698</v>
      </c>
      <c r="FD223" s="5">
        <v>3.2797769244546998E-2</v>
      </c>
      <c r="FE223" s="5">
        <v>7.2274316510211503E-2</v>
      </c>
      <c r="FF223" s="5">
        <v>-0.64303674142756695</v>
      </c>
      <c r="FG223" s="5">
        <v>0.75620435116430895</v>
      </c>
      <c r="FH223" s="5">
        <v>0.207193192662352</v>
      </c>
      <c r="FI223" s="5">
        <v>-0.13789461234946301</v>
      </c>
      <c r="FJ223" s="5">
        <v>4.0017125789152098E-2</v>
      </c>
      <c r="FK223" s="5">
        <v>0.13486946958622401</v>
      </c>
      <c r="FL223" s="5">
        <v>-0.30194043263526499</v>
      </c>
      <c r="FM223" s="5">
        <v>0.21714776838615699</v>
      </c>
      <c r="FN223" s="5">
        <v>-7.6638263960082499E-3</v>
      </c>
      <c r="FO223" s="5">
        <v>0.126219367044626</v>
      </c>
      <c r="FP223" s="5">
        <v>0.194546314238044</v>
      </c>
      <c r="FQ223" s="5">
        <v>-3.3728018193205603E-2</v>
      </c>
      <c r="FR223" s="5">
        <v>1.9293461320427599E-2</v>
      </c>
      <c r="FS223" s="5">
        <v>-0.22668380761144</v>
      </c>
      <c r="FT223" s="5">
        <v>0.14034732898367999</v>
      </c>
      <c r="FU223" s="5">
        <v>2.6242728112721901E-2</v>
      </c>
      <c r="FV223" s="5">
        <v>-0.35643112800640597</v>
      </c>
      <c r="FW223" s="5">
        <v>0.49327902897306197</v>
      </c>
      <c r="FX223" s="5">
        <v>0.124426218269369</v>
      </c>
      <c r="FY223" s="5">
        <v>-1.52969248669218E-2</v>
      </c>
      <c r="FZ223" s="5">
        <v>0.11826916513046599</v>
      </c>
      <c r="GA223" s="5">
        <v>5.5498795212030799E-2</v>
      </c>
      <c r="GB223" s="5">
        <v>-0.51075791182682395</v>
      </c>
      <c r="GC223" s="5">
        <v>0.64915772388321502</v>
      </c>
      <c r="GD223" s="5">
        <v>-0.50442178853946196</v>
      </c>
      <c r="GE223" s="5">
        <v>0.45793865159478597</v>
      </c>
      <c r="GF223" s="5">
        <v>7.1632394073964406E-2</v>
      </c>
      <c r="GG223" s="5">
        <v>8.6168701677291598E-2</v>
      </c>
      <c r="GH223" s="5">
        <v>-0.15878114303063701</v>
      </c>
      <c r="GI223" s="5">
        <v>-8.0496365931706504E-2</v>
      </c>
      <c r="GJ223" s="5">
        <v>0.10160597961505601</v>
      </c>
      <c r="GK223" s="5">
        <v>3.3027812454245999E-2</v>
      </c>
      <c r="GL223" s="5">
        <v>-5.25960668447715E-2</v>
      </c>
      <c r="GM223" s="5">
        <v>0.159524680632049</v>
      </c>
      <c r="GN223" s="5">
        <v>-0.40866575885538903</v>
      </c>
      <c r="GO223" s="5">
        <v>0.53397058882541004</v>
      </c>
      <c r="GP223" s="5">
        <v>0.190667921084684</v>
      </c>
      <c r="GQ223" s="5">
        <v>9.8061436761444597E-3</v>
      </c>
      <c r="GR223" s="5">
        <v>7.62817871607058E-2</v>
      </c>
      <c r="GS223" s="5">
        <v>5.1150964194517097E-2</v>
      </c>
      <c r="GT223" s="5">
        <v>-2.9355952407887399E-2</v>
      </c>
      <c r="GU223" s="5">
        <v>0.105303718076143</v>
      </c>
      <c r="GV223" s="5">
        <v>-1.89581538502664E-3</v>
      </c>
      <c r="GW223" s="5">
        <v>9.0947236321389402E-2</v>
      </c>
      <c r="GX223" s="5">
        <v>0.180391873924096</v>
      </c>
      <c r="GY223" s="5">
        <v>-8.0622744834666707E-3</v>
      </c>
      <c r="GZ223" s="5">
        <v>-0.573577956957951</v>
      </c>
      <c r="HA223" s="5">
        <v>0.57830478532164598</v>
      </c>
      <c r="HB223" s="5">
        <v>0.16514993469414599</v>
      </c>
      <c r="HC223" s="5">
        <v>8.1969396351607598E-4</v>
      </c>
      <c r="HD223" s="5">
        <v>-6.3861392723798205E-2</v>
      </c>
      <c r="HE223" s="5">
        <v>-4.3187320053564397E-2</v>
      </c>
      <c r="HF223" s="5">
        <v>-0.636694446141151</v>
      </c>
      <c r="HG223" s="5">
        <v>0.64540095686202703</v>
      </c>
      <c r="HH223" s="5">
        <v>-0.53813919825163303</v>
      </c>
      <c r="HI223" s="5">
        <v>0.607992989794506</v>
      </c>
      <c r="HJ223" s="5">
        <v>-0.617024168328833</v>
      </c>
      <c r="HK223" s="5">
        <v>0.61458102756098398</v>
      </c>
      <c r="HL223" s="5">
        <v>8.4587396272375701E-2</v>
      </c>
      <c r="HM223" s="5">
        <v>1.7912478207413099E-3</v>
      </c>
      <c r="HN223" s="5">
        <v>-0.86061762728831503</v>
      </c>
      <c r="HO223" s="5">
        <v>1</v>
      </c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</row>
    <row r="224" spans="1:389" x14ac:dyDescent="0.45">
      <c r="A224" s="4" t="str">
        <f ca="1">"MDG / beta1dist in "&amp;CELL("address",'damages-1990'!$J$113)</f>
        <v>MDG / beta1dist in '[BHM betas v3pd.xlsx]damages-1990'!$J$113</v>
      </c>
      <c r="B224" s="6">
        <v>0.28001655453962299</v>
      </c>
      <c r="C224" s="5">
        <v>0.155941280531251</v>
      </c>
      <c r="D224" s="5">
        <v>0.44550153648255097</v>
      </c>
      <c r="E224" s="5">
        <v>6.2542767756979603E-2</v>
      </c>
      <c r="F224" s="5">
        <v>0.20721828623376401</v>
      </c>
      <c r="G224" s="5">
        <v>5.42227279617827E-2</v>
      </c>
      <c r="H224" s="5">
        <v>-3.3074417122692802E-2</v>
      </c>
      <c r="I224" s="5">
        <v>2.6020824080538699E-2</v>
      </c>
      <c r="J224" s="5">
        <v>0.41257657883583798</v>
      </c>
      <c r="K224" s="5">
        <v>-2.4546868642839999E-2</v>
      </c>
      <c r="L224" s="5">
        <v>0.53433260241227298</v>
      </c>
      <c r="M224" s="5">
        <v>-0.235311528532722</v>
      </c>
      <c r="N224" s="5">
        <v>1.43621385718085E-2</v>
      </c>
      <c r="O224" s="5">
        <v>5.97195341386733E-2</v>
      </c>
      <c r="P224" s="5">
        <v>0.18997463628146699</v>
      </c>
      <c r="Q224" s="5">
        <v>9.1421541125375802E-2</v>
      </c>
      <c r="R224" s="5">
        <v>0.35840568232259401</v>
      </c>
      <c r="S224" s="5">
        <v>0.11759492203277699</v>
      </c>
      <c r="T224" s="5">
        <v>-6.8010258472255697E-2</v>
      </c>
      <c r="U224" s="5">
        <v>0.119995028984138</v>
      </c>
      <c r="V224" s="5">
        <v>0.26110805159179901</v>
      </c>
      <c r="W224" s="5">
        <v>0.14921131765081799</v>
      </c>
      <c r="X224" s="5">
        <v>0.44815064418261402</v>
      </c>
      <c r="Y224" s="5">
        <v>-3.9477873574401398E-4</v>
      </c>
      <c r="Z224" s="5">
        <v>6.7177251063838997E-2</v>
      </c>
      <c r="AA224" s="5">
        <v>7.09381835295151E-2</v>
      </c>
      <c r="AB224" s="5">
        <v>0.48854651419140399</v>
      </c>
      <c r="AC224" s="5">
        <v>-9.0051285470238898E-2</v>
      </c>
      <c r="AD224" s="5">
        <v>0.44286197594120902</v>
      </c>
      <c r="AE224" s="5">
        <v>-3.9601909413722403E-3</v>
      </c>
      <c r="AF224" s="5">
        <v>0.26405756317185403</v>
      </c>
      <c r="AG224" s="5">
        <v>0.11277737206055399</v>
      </c>
      <c r="AH224" s="5">
        <v>0.17624236069663199</v>
      </c>
      <c r="AI224" s="5">
        <v>4.5830921552843698E-2</v>
      </c>
      <c r="AJ224" s="5">
        <v>0.413231842260881</v>
      </c>
      <c r="AK224" s="5">
        <v>-7.8610158951109205E-2</v>
      </c>
      <c r="AL224" s="5">
        <v>0.47827251503712997</v>
      </c>
      <c r="AM224" s="5">
        <v>-0.31456075376805398</v>
      </c>
      <c r="AN224" s="5">
        <v>6.3548239791913194E-2</v>
      </c>
      <c r="AO224" s="5">
        <v>8.7575814311706399E-2</v>
      </c>
      <c r="AP224" s="5">
        <v>-8.8181049147695603E-2</v>
      </c>
      <c r="AQ224" s="5">
        <v>0.16541287061461399</v>
      </c>
      <c r="AR224" s="5">
        <v>0.284386459842627</v>
      </c>
      <c r="AS224" s="5">
        <v>7.3502596443191404E-2</v>
      </c>
      <c r="AT224" s="5">
        <v>0.49672929228853102</v>
      </c>
      <c r="AU224" s="5">
        <v>-0.32661756601525899</v>
      </c>
      <c r="AV224" s="5">
        <v>0.48118194334611197</v>
      </c>
      <c r="AW224" s="5">
        <v>-4.1769704152320501E-2</v>
      </c>
      <c r="AX224" s="5">
        <v>0.42724409820363901</v>
      </c>
      <c r="AY224" s="5">
        <v>1.1152791618389099E-3</v>
      </c>
      <c r="AZ224" s="5">
        <v>0.17810528715250001</v>
      </c>
      <c r="BA224" s="5">
        <v>9.9580734912287805E-2</v>
      </c>
      <c r="BB224" s="5">
        <v>0.34896496823849599</v>
      </c>
      <c r="BC224" s="5">
        <v>0.15638901488490001</v>
      </c>
      <c r="BD224" s="5">
        <v>0.16886191193041999</v>
      </c>
      <c r="BE224" s="5">
        <v>0.22867424495181499</v>
      </c>
      <c r="BF224" s="5">
        <v>0.42523475530105098</v>
      </c>
      <c r="BG224" s="5">
        <v>-2.5735240433866401E-2</v>
      </c>
      <c r="BH224" s="5">
        <v>0.47634789900462698</v>
      </c>
      <c r="BI224" s="5">
        <v>5.5193056627767202E-3</v>
      </c>
      <c r="BJ224" s="5">
        <v>-0.115503795169525</v>
      </c>
      <c r="BK224" s="5">
        <v>-1.3905791826466399E-2</v>
      </c>
      <c r="BL224" s="5">
        <v>-9.2567048767756094E-2</v>
      </c>
      <c r="BM224" s="5">
        <v>0.12267216292689501</v>
      </c>
      <c r="BN224" s="5">
        <v>1.8587289193542599E-2</v>
      </c>
      <c r="BO224" s="5">
        <v>8.0815066408741906E-2</v>
      </c>
      <c r="BP224" s="5">
        <v>2.93473473500299E-2</v>
      </c>
      <c r="BQ224" s="5">
        <v>5.3941085089451099E-2</v>
      </c>
      <c r="BR224" s="5">
        <v>0.354702794580665</v>
      </c>
      <c r="BS224" s="5">
        <v>5.32506618024313E-2</v>
      </c>
      <c r="BT224" s="5">
        <v>0.515646416323015</v>
      </c>
      <c r="BU224" s="5">
        <v>-4.4186222969892303E-2</v>
      </c>
      <c r="BV224" s="5">
        <v>0.47680173916305402</v>
      </c>
      <c r="BW224" s="5">
        <v>-1.8043815010229901E-3</v>
      </c>
      <c r="BX224" s="5">
        <v>0.45846991248298302</v>
      </c>
      <c r="BY224" s="5">
        <v>-3.2074599326631099E-2</v>
      </c>
      <c r="BZ224" s="5">
        <v>0.40177098814220602</v>
      </c>
      <c r="CA224" s="5">
        <v>2.96210111436776E-2</v>
      </c>
      <c r="CB224" s="5">
        <v>0.43822379278361701</v>
      </c>
      <c r="CC224" s="5">
        <v>-0.119305028776805</v>
      </c>
      <c r="CD224" s="5">
        <v>0.19135544876322799</v>
      </c>
      <c r="CE224" s="5">
        <v>0.12833837770200399</v>
      </c>
      <c r="CF224" s="5">
        <v>0.25304759279320299</v>
      </c>
      <c r="CG224" s="5">
        <v>6.1729281515775801E-2</v>
      </c>
      <c r="CH224" s="5">
        <v>0.40391173135828301</v>
      </c>
      <c r="CI224" s="5">
        <v>-0.26191327814734999</v>
      </c>
      <c r="CJ224" s="5">
        <v>0.204071969883584</v>
      </c>
      <c r="CK224" s="5">
        <v>2.7638941032638701E-2</v>
      </c>
      <c r="CL224" s="5">
        <v>-1.0041349488920099E-3</v>
      </c>
      <c r="CM224" s="5">
        <v>9.64178422557085E-2</v>
      </c>
      <c r="CN224" s="5">
        <v>2.9667812032502901E-2</v>
      </c>
      <c r="CO224" s="5">
        <v>8.6377255754277502E-2</v>
      </c>
      <c r="CP224" s="5">
        <v>0.19424337225072</v>
      </c>
      <c r="CQ224" s="5">
        <v>0.154678705073406</v>
      </c>
      <c r="CR224" s="5">
        <v>0.14518393049898801</v>
      </c>
      <c r="CS224" s="5">
        <v>0.17994258129535601</v>
      </c>
      <c r="CT224" s="5">
        <v>1.9977782854296099E-2</v>
      </c>
      <c r="CU224" s="5">
        <v>3.8798809735068197E-2</v>
      </c>
      <c r="CV224" s="5">
        <v>0.273132397367713</v>
      </c>
      <c r="CW224" s="5">
        <v>1.4970001881378901E-2</v>
      </c>
      <c r="CX224" s="5">
        <v>0.49056671093203003</v>
      </c>
      <c r="CY224" s="5">
        <v>-0.110213437045994</v>
      </c>
      <c r="CZ224" s="5">
        <v>0.41470992539600898</v>
      </c>
      <c r="DA224" s="5">
        <v>-3.3809026798444601E-2</v>
      </c>
      <c r="DB224" s="5">
        <v>0.42652314646834799</v>
      </c>
      <c r="DC224" s="5">
        <v>-4.2581376202616303E-2</v>
      </c>
      <c r="DD224" s="5">
        <v>0.26584788891089001</v>
      </c>
      <c r="DE224" s="5">
        <v>0.118332761114299</v>
      </c>
      <c r="DF224" s="5">
        <v>0.21621032427262701</v>
      </c>
      <c r="DG224" s="5">
        <v>0.16764716504825899</v>
      </c>
      <c r="DH224" s="5">
        <v>0.219200566916914</v>
      </c>
      <c r="DI224" s="5">
        <v>0.148254266094245</v>
      </c>
      <c r="DJ224" s="5">
        <v>-0.104072968107947</v>
      </c>
      <c r="DK224" s="5">
        <v>0.147185620722176</v>
      </c>
      <c r="DL224" s="5">
        <v>0.34546024974316603</v>
      </c>
      <c r="DM224" s="5">
        <v>0.120838984943213</v>
      </c>
      <c r="DN224" s="5">
        <v>-0.18114523504347599</v>
      </c>
      <c r="DO224" s="5">
        <v>0.190844073123349</v>
      </c>
      <c r="DP224" s="5">
        <v>0.44719459032524</v>
      </c>
      <c r="DQ224" s="5">
        <v>-0.230086541403418</v>
      </c>
      <c r="DR224" s="5">
        <v>0.15545723759726901</v>
      </c>
      <c r="DS224" s="5">
        <v>5.43466355763913E-2</v>
      </c>
      <c r="DT224" s="5">
        <v>0.16209685037895999</v>
      </c>
      <c r="DU224" s="5">
        <v>1.5950551893198599E-2</v>
      </c>
      <c r="DV224" s="5">
        <v>0.401050765269023</v>
      </c>
      <c r="DW224" s="5">
        <v>-4.9148890175731298E-2</v>
      </c>
      <c r="DX224" s="5">
        <v>8.9656898123353004E-3</v>
      </c>
      <c r="DY224" s="5">
        <v>7.8451261541619993E-2</v>
      </c>
      <c r="DZ224" s="5">
        <v>5.4039055704220101E-2</v>
      </c>
      <c r="EA224" s="5">
        <v>3.8138136646972597E-2</v>
      </c>
      <c r="EB224" s="5">
        <v>0.404250653660642</v>
      </c>
      <c r="EC224" s="5">
        <v>7.9005510060657508E-3</v>
      </c>
      <c r="ED224" s="5">
        <v>0.42345675327383903</v>
      </c>
      <c r="EE224" s="5">
        <v>4.3038954506006498E-2</v>
      </c>
      <c r="EF224" s="5">
        <v>0.145726389386479</v>
      </c>
      <c r="EG224" s="5">
        <v>0.149798366593068</v>
      </c>
      <c r="EH224" s="5">
        <v>0.36339091833417198</v>
      </c>
      <c r="EI224" s="5">
        <v>7.7249465060091602E-2</v>
      </c>
      <c r="EJ224" s="5">
        <v>0.456381751148001</v>
      </c>
      <c r="EK224" s="5">
        <v>-1.0659674333644599E-3</v>
      </c>
      <c r="EL224" s="5">
        <v>0.43757294688394199</v>
      </c>
      <c r="EM224" s="5">
        <v>-3.2355542109771901E-2</v>
      </c>
      <c r="EN224" s="5">
        <v>0.27589627643671699</v>
      </c>
      <c r="EO224" s="5">
        <v>-2.9324043966446601E-2</v>
      </c>
      <c r="EP224" s="5">
        <v>0.180611466609959</v>
      </c>
      <c r="EQ224" s="5">
        <v>9.3566185007073296E-2</v>
      </c>
      <c r="ER224" s="5">
        <v>0.303118697566927</v>
      </c>
      <c r="ES224" s="5">
        <v>9.4138027295160298E-2</v>
      </c>
      <c r="ET224" s="5">
        <v>0.340078883872174</v>
      </c>
      <c r="EU224" s="5">
        <v>-3.6435319286220097E-2</v>
      </c>
      <c r="EV224" s="5">
        <v>0.21251494250820699</v>
      </c>
      <c r="EW224" s="5">
        <v>0.123521143791575</v>
      </c>
      <c r="EX224" s="5">
        <v>0.33292748092727698</v>
      </c>
      <c r="EY224" s="5">
        <v>-8.7910540406243201E-2</v>
      </c>
      <c r="EZ224" s="5">
        <v>0.29685786991323498</v>
      </c>
      <c r="FA224" s="5">
        <v>0.102193397681488</v>
      </c>
      <c r="FB224" s="5">
        <v>0.180214316697833</v>
      </c>
      <c r="FC224" s="5">
        <v>3.8468358851296E-2</v>
      </c>
      <c r="FD224" s="5">
        <v>0.33751958146671202</v>
      </c>
      <c r="FE224" s="5">
        <v>-4.3127941836770198E-2</v>
      </c>
      <c r="FF224" s="5">
        <v>0.165670976527762</v>
      </c>
      <c r="FG224" s="5">
        <v>9.6168059139344307E-3</v>
      </c>
      <c r="FH224" s="5">
        <v>0.52200693119457198</v>
      </c>
      <c r="FI224" s="5">
        <v>-0.15920025263134599</v>
      </c>
      <c r="FJ224" s="5">
        <v>0.435793031123765</v>
      </c>
      <c r="FK224" s="5">
        <v>2.0214317036228099E-2</v>
      </c>
      <c r="FL224" s="5">
        <v>3.1579685885215801E-3</v>
      </c>
      <c r="FM224" s="5">
        <v>0.101783077533575</v>
      </c>
      <c r="FN224" s="5">
        <v>0.39186185242100202</v>
      </c>
      <c r="FO224" s="5">
        <v>-5.4383037812564799E-3</v>
      </c>
      <c r="FP224" s="5">
        <v>0.41242315749040098</v>
      </c>
      <c r="FQ224" s="5">
        <v>-7.4969094315530102E-2</v>
      </c>
      <c r="FR224" s="5">
        <v>-4.1617892375312202E-2</v>
      </c>
      <c r="FS224" s="5">
        <v>0.15210441127025401</v>
      </c>
      <c r="FT224" s="5">
        <v>0.39270902065622798</v>
      </c>
      <c r="FU224" s="5">
        <v>-5.7902784133044196E-3</v>
      </c>
      <c r="FV224" s="5">
        <v>0.27644592273197699</v>
      </c>
      <c r="FW224" s="5">
        <v>2.5836409669291899E-4</v>
      </c>
      <c r="FX224" s="5">
        <v>0.37191262364976002</v>
      </c>
      <c r="FY224" s="5">
        <v>-0.10400124421065</v>
      </c>
      <c r="FZ224" s="5">
        <v>0.41891402025514901</v>
      </c>
      <c r="GA224" s="5">
        <v>7.8594932903389494E-3</v>
      </c>
      <c r="GB224" s="5">
        <v>0.12825606869234901</v>
      </c>
      <c r="GC224" s="5">
        <v>0.17634106652970899</v>
      </c>
      <c r="GD224" s="5">
        <v>-2.2120419077463899E-2</v>
      </c>
      <c r="GE224" s="5">
        <v>5.66288107647527E-2</v>
      </c>
      <c r="GF224" s="5">
        <v>0.22236238237422701</v>
      </c>
      <c r="GG224" s="5">
        <v>0.22041742659494901</v>
      </c>
      <c r="GH224" s="5">
        <v>-9.6626381870023495E-2</v>
      </c>
      <c r="GI224" s="5">
        <v>2.1201632719491902E-3</v>
      </c>
      <c r="GJ224" s="5">
        <v>0.52406340640849403</v>
      </c>
      <c r="GK224" s="5">
        <v>-0.26219106125556702</v>
      </c>
      <c r="GL224" s="5">
        <v>0.17611894442204801</v>
      </c>
      <c r="GM224" s="5">
        <v>9.5625560219302505E-2</v>
      </c>
      <c r="GN224" s="5">
        <v>0.216728884447666</v>
      </c>
      <c r="GO224" s="5">
        <v>7.9414620858558702E-2</v>
      </c>
      <c r="GP224" s="5">
        <v>0.44630416415241297</v>
      </c>
      <c r="GQ224" s="5">
        <v>-0.11393531812721901</v>
      </c>
      <c r="GR224" s="5">
        <v>0.47378809281444301</v>
      </c>
      <c r="GS224" s="5">
        <v>-0.19530030753279701</v>
      </c>
      <c r="GT224" s="5">
        <v>0.28903187263302699</v>
      </c>
      <c r="GU224" s="5">
        <v>8.0373553545370499E-2</v>
      </c>
      <c r="GV224" s="5">
        <v>0.367777789660857</v>
      </c>
      <c r="GW224" s="5">
        <v>6.17513675209427E-3</v>
      </c>
      <c r="GX224" s="5">
        <v>0.48729441785391298</v>
      </c>
      <c r="GY224" s="5">
        <v>-0.19765059930581599</v>
      </c>
      <c r="GZ224" s="5">
        <v>-9.9084950445796502E-2</v>
      </c>
      <c r="HA224" s="5">
        <v>0.12989259282766899</v>
      </c>
      <c r="HB224" s="5">
        <v>0.36071962651079298</v>
      </c>
      <c r="HC224" s="5">
        <v>6.0139177136431E-2</v>
      </c>
      <c r="HD224" s="5">
        <v>0.15846344615279501</v>
      </c>
      <c r="HE224" s="5">
        <v>0.31353433680409898</v>
      </c>
      <c r="HF224" s="5">
        <v>-6.9625867343196604E-2</v>
      </c>
      <c r="HG224" s="5">
        <v>0.13229540078031099</v>
      </c>
      <c r="HH224" s="5">
        <v>4.5160889946926901E-2</v>
      </c>
      <c r="HI224" s="5">
        <v>8.1864148181850602E-2</v>
      </c>
      <c r="HJ224" s="5">
        <v>-8.6727750369545095E-2</v>
      </c>
      <c r="HK224" s="5">
        <v>0.13245381081497101</v>
      </c>
      <c r="HL224" s="5">
        <v>0.31230187943145798</v>
      </c>
      <c r="HM224" s="5">
        <v>0.126220768696166</v>
      </c>
      <c r="HN224" s="5">
        <v>0.125373806783348</v>
      </c>
      <c r="HO224" s="5">
        <v>5.8711454639251898E-2</v>
      </c>
      <c r="HP224" s="5">
        <v>1</v>
      </c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</row>
    <row r="225" spans="1:389" x14ac:dyDescent="0.45">
      <c r="A225" s="4" t="str">
        <f ca="1">"MDG / beta2dist in "&amp;CELL("address",'damages-1990'!$K$113)</f>
        <v>MDG / beta2dist in '[BHM betas v3pd.xlsx]damages-1990'!$K$113</v>
      </c>
      <c r="B225" s="6">
        <v>-0.106992534685384</v>
      </c>
      <c r="C225" s="5">
        <v>0.162450887086733</v>
      </c>
      <c r="D225" s="5">
        <v>-0.12763433139597799</v>
      </c>
      <c r="E225" s="5">
        <v>0.161973520710777</v>
      </c>
      <c r="F225" s="5">
        <v>-4.7805417077325101E-2</v>
      </c>
      <c r="G225" s="5">
        <v>0.106939499595228</v>
      </c>
      <c r="H225" s="5">
        <v>-9.5375746395113606E-2</v>
      </c>
      <c r="I225" s="5">
        <v>4.0213375110361903E-2</v>
      </c>
      <c r="J225" s="5">
        <v>-9.8755453745833402E-2</v>
      </c>
      <c r="K225" s="5">
        <v>0.22457463021756199</v>
      </c>
      <c r="L225" s="5">
        <v>-0.23755753943107499</v>
      </c>
      <c r="M225" s="5">
        <v>0.40211899819610802</v>
      </c>
      <c r="N225" s="5">
        <v>-2.0487502239991798E-2</v>
      </c>
      <c r="O225" s="5">
        <v>-4.6821370798629899E-2</v>
      </c>
      <c r="P225" s="5">
        <v>-0.165028029468756</v>
      </c>
      <c r="Q225" s="5">
        <v>0.174087724709869</v>
      </c>
      <c r="R225" s="5">
        <v>4.94375374166292E-2</v>
      </c>
      <c r="S225" s="5">
        <v>-6.0002051795372798E-3</v>
      </c>
      <c r="T225" s="5">
        <v>-6.4786124117344898E-2</v>
      </c>
      <c r="U225" s="5">
        <v>2.97299879908395E-2</v>
      </c>
      <c r="V225" s="5">
        <v>-3.4474935707940698E-3</v>
      </c>
      <c r="W225" s="5">
        <v>5.22761981490465E-3</v>
      </c>
      <c r="X225" s="5">
        <v>-0.174779392962433</v>
      </c>
      <c r="Y225" s="5">
        <v>0.24880834696116499</v>
      </c>
      <c r="Z225" s="5">
        <v>-8.7755846427102394E-2</v>
      </c>
      <c r="AA225" s="5">
        <v>9.4897634533867695E-2</v>
      </c>
      <c r="AB225" s="5">
        <v>-0.28275530216136402</v>
      </c>
      <c r="AC225" s="5">
        <v>0.32634704750638499</v>
      </c>
      <c r="AD225" s="5">
        <v>-0.28730370502420799</v>
      </c>
      <c r="AE225" s="5">
        <v>0.29475350537114597</v>
      </c>
      <c r="AF225" s="5">
        <v>3.04724468826418E-2</v>
      </c>
      <c r="AG225" s="5">
        <v>2.0899525493364199E-2</v>
      </c>
      <c r="AH225" s="5">
        <v>-7.3966795030187701E-2</v>
      </c>
      <c r="AI225" s="5">
        <v>0.11526420996073999</v>
      </c>
      <c r="AJ225" s="5">
        <v>-0.165764326338773</v>
      </c>
      <c r="AK225" s="5">
        <v>0.32378399553832399</v>
      </c>
      <c r="AL225" s="5">
        <v>-9.2073563111766704E-2</v>
      </c>
      <c r="AM225" s="5">
        <v>0.189460896751762</v>
      </c>
      <c r="AN225" s="5">
        <v>-8.4318061216839393E-2</v>
      </c>
      <c r="AO225" s="5">
        <v>9.7195398522079396E-2</v>
      </c>
      <c r="AP225" s="5">
        <v>-0.114008287948322</v>
      </c>
      <c r="AQ225" s="5">
        <v>8.0668518464570696E-2</v>
      </c>
      <c r="AR225" s="5">
        <v>0.127475983538726</v>
      </c>
      <c r="AS225" s="5">
        <v>-9.3996364098400301E-2</v>
      </c>
      <c r="AT225" s="5">
        <v>-0.14389429885136701</v>
      </c>
      <c r="AU225" s="5">
        <v>0.21904181393335101</v>
      </c>
      <c r="AV225" s="5">
        <v>-4.7813540178401302E-2</v>
      </c>
      <c r="AW225" s="5">
        <v>0.14716021425105399</v>
      </c>
      <c r="AX225" s="5">
        <v>-1.1714133287437501E-2</v>
      </c>
      <c r="AY225" s="5">
        <v>0.111098573084067</v>
      </c>
      <c r="AZ225" s="5">
        <v>-9.2987821649407901E-2</v>
      </c>
      <c r="BA225" s="5">
        <v>9.8699003117662096E-2</v>
      </c>
      <c r="BB225" s="5">
        <v>4.0075464530306699E-2</v>
      </c>
      <c r="BC225" s="5">
        <v>-1.9594747347209701E-2</v>
      </c>
      <c r="BD225" s="5">
        <v>-9.7427674100802303E-2</v>
      </c>
      <c r="BE225" s="5">
        <v>0.13612003003092599</v>
      </c>
      <c r="BF225" s="5">
        <v>-0.14932460656323701</v>
      </c>
      <c r="BG225" s="5">
        <v>0.17671831781918401</v>
      </c>
      <c r="BH225" s="5">
        <v>-0.16995172003331799</v>
      </c>
      <c r="BI225" s="5">
        <v>0.220327891341598</v>
      </c>
      <c r="BJ225" s="5">
        <v>-0.21127588655392701</v>
      </c>
      <c r="BK225" s="5">
        <v>0.112892666118934</v>
      </c>
      <c r="BL225" s="5">
        <v>-5.65538897333678E-2</v>
      </c>
      <c r="BM225" s="5">
        <v>-4.5236890194678498E-4</v>
      </c>
      <c r="BN225" s="5">
        <v>-6.4649287969438404E-2</v>
      </c>
      <c r="BO225" s="5">
        <v>5.0706112856978097E-2</v>
      </c>
      <c r="BP225" s="5">
        <v>-0.144224953994189</v>
      </c>
      <c r="BQ225" s="5">
        <v>0.138038205534943</v>
      </c>
      <c r="BR225" s="5">
        <v>-0.20796508321173399</v>
      </c>
      <c r="BS225" s="5">
        <v>0.24139974481887799</v>
      </c>
      <c r="BT225" s="5">
        <v>-0.16494256766102799</v>
      </c>
      <c r="BU225" s="5">
        <v>0.25448894450756399</v>
      </c>
      <c r="BV225" s="5">
        <v>-0.174675603033978</v>
      </c>
      <c r="BW225" s="5">
        <v>0.24118207218471699</v>
      </c>
      <c r="BX225" s="5">
        <v>-0.169144051178721</v>
      </c>
      <c r="BY225" s="5">
        <v>0.23583970000711199</v>
      </c>
      <c r="BZ225" s="5">
        <v>-9.43809946348656E-2</v>
      </c>
      <c r="CA225" s="5">
        <v>0.14969316078818801</v>
      </c>
      <c r="CB225" s="5">
        <v>-0.16775077431272301</v>
      </c>
      <c r="CC225" s="5">
        <v>0.20546025797328499</v>
      </c>
      <c r="CD225" s="5">
        <v>-2.8577513052333699E-2</v>
      </c>
      <c r="CE225" s="5">
        <v>-4.6504432662859904E-3</v>
      </c>
      <c r="CF225" s="5">
        <v>-4.2584281182690101E-2</v>
      </c>
      <c r="CG225" s="5">
        <v>6.2529636218356499E-2</v>
      </c>
      <c r="CH225" s="5">
        <v>1.04461397930087E-2</v>
      </c>
      <c r="CI225" s="5">
        <v>9.7749101924972798E-2</v>
      </c>
      <c r="CJ225" s="5">
        <v>5.4253596302773099E-2</v>
      </c>
      <c r="CK225" s="5">
        <v>2.6967706045835E-2</v>
      </c>
      <c r="CL225" s="5">
        <v>-7.2831042773318602E-2</v>
      </c>
      <c r="CM225" s="5">
        <v>4.7624527273527797E-2</v>
      </c>
      <c r="CN225" s="5">
        <v>-8.2760464461195699E-2</v>
      </c>
      <c r="CO225" s="5">
        <v>6.9631217967977693E-2</v>
      </c>
      <c r="CP225" s="5">
        <v>-0.13080761051609499</v>
      </c>
      <c r="CQ225" s="5">
        <v>0.118660131600587</v>
      </c>
      <c r="CR225" s="5">
        <v>-6.50500390192503E-2</v>
      </c>
      <c r="CS225" s="5">
        <v>4.4524616966566198E-2</v>
      </c>
      <c r="CT225" s="5">
        <v>-0.140667721376841</v>
      </c>
      <c r="CU225" s="5">
        <v>0.13409626882538001</v>
      </c>
      <c r="CV225" s="5">
        <v>-0.123997425320807</v>
      </c>
      <c r="CW225" s="5">
        <v>0.17743257855136499</v>
      </c>
      <c r="CX225" s="5">
        <v>-0.22856759618561401</v>
      </c>
      <c r="CY225" s="5">
        <v>0.35999577140980998</v>
      </c>
      <c r="CZ225" s="5">
        <v>-0.128577392566218</v>
      </c>
      <c r="DA225" s="5">
        <v>0.19307853248469101</v>
      </c>
      <c r="DB225" s="5">
        <v>-8.3873154451385004E-2</v>
      </c>
      <c r="DC225" s="5">
        <v>0.21395161774101101</v>
      </c>
      <c r="DD225" s="5">
        <v>-0.16036838000296999</v>
      </c>
      <c r="DE225" s="5">
        <v>0.19232230681207099</v>
      </c>
      <c r="DF225" s="5">
        <v>8.3236057934181595E-2</v>
      </c>
      <c r="DG225" s="5">
        <v>-4.4226446001085502E-2</v>
      </c>
      <c r="DH225" s="5">
        <v>-3.0268852979620201E-3</v>
      </c>
      <c r="DI225" s="5">
        <v>5.8956778494195498E-2</v>
      </c>
      <c r="DJ225" s="5">
        <v>-0.138711129919563</v>
      </c>
      <c r="DK225" s="5">
        <v>0.10006572769849</v>
      </c>
      <c r="DL225" s="5">
        <v>-0.10073964439673</v>
      </c>
      <c r="DM225" s="5">
        <v>0.15215222690046201</v>
      </c>
      <c r="DN225" s="5">
        <v>-0.11302488412649001</v>
      </c>
      <c r="DO225" s="5">
        <v>3.1715111393357899E-2</v>
      </c>
      <c r="DP225" s="5">
        <v>-3.4850392646199699E-2</v>
      </c>
      <c r="DQ225" s="5">
        <v>0.17355150898064201</v>
      </c>
      <c r="DR225" s="5">
        <v>-9.2466544307233903E-2</v>
      </c>
      <c r="DS225" s="5">
        <v>0.14210492417921</v>
      </c>
      <c r="DT225" s="5">
        <v>-5.28321720592628E-2</v>
      </c>
      <c r="DU225" s="5">
        <v>0.12539697777571501</v>
      </c>
      <c r="DV225" s="5">
        <v>-0.19888765810901701</v>
      </c>
      <c r="DW225" s="5">
        <v>0.26177096711363501</v>
      </c>
      <c r="DX225" s="5">
        <v>-0.132946005822871</v>
      </c>
      <c r="DY225" s="5">
        <v>0.1214404810302</v>
      </c>
      <c r="DZ225" s="5">
        <v>-7.0451138512423503E-2</v>
      </c>
      <c r="EA225" s="5">
        <v>4.0217979132769401E-2</v>
      </c>
      <c r="EB225" s="5">
        <v>-0.20776827801798101</v>
      </c>
      <c r="EC225" s="5">
        <v>0.25820541239435602</v>
      </c>
      <c r="ED225" s="5">
        <v>-0.199479731100071</v>
      </c>
      <c r="EE225" s="5">
        <v>0.22368895247757001</v>
      </c>
      <c r="EF225" s="5">
        <v>-0.11181529779305301</v>
      </c>
      <c r="EG225" s="5">
        <v>9.8589340785035603E-2</v>
      </c>
      <c r="EH225" s="5">
        <v>-6.6571085851398495E-2</v>
      </c>
      <c r="EI225" s="5">
        <v>0.138790901851991</v>
      </c>
      <c r="EJ225" s="5">
        <v>-0.20529011597463401</v>
      </c>
      <c r="EK225" s="5">
        <v>0.26314641568969099</v>
      </c>
      <c r="EL225" s="5">
        <v>-6.7271159068109807E-2</v>
      </c>
      <c r="EM225" s="5">
        <v>0.14036037941135099</v>
      </c>
      <c r="EN225" s="5">
        <v>3.6211416312542599E-2</v>
      </c>
      <c r="EO225" s="5">
        <v>4.1556479629328298E-2</v>
      </c>
      <c r="EP225" s="5">
        <v>-6.7841223457666799E-2</v>
      </c>
      <c r="EQ225" s="5">
        <v>9.1129751210665799E-2</v>
      </c>
      <c r="ER225" s="5">
        <v>0.103442021749792</v>
      </c>
      <c r="ES225" s="5">
        <v>-4.3895732086524399E-2</v>
      </c>
      <c r="ET225" s="5">
        <v>1.7724401255984099E-2</v>
      </c>
      <c r="EU225" s="5">
        <v>0.110656520307802</v>
      </c>
      <c r="EV225" s="5">
        <v>0.10503971131531201</v>
      </c>
      <c r="EW225" s="5">
        <v>-1.01561445187929E-3</v>
      </c>
      <c r="EX225" s="5">
        <v>5.4096232213067502E-2</v>
      </c>
      <c r="EY225" s="5">
        <v>0.10055348086339</v>
      </c>
      <c r="EZ225" s="5">
        <v>5.70664969912624E-2</v>
      </c>
      <c r="FA225" s="5">
        <v>1.6870968268687898E-2</v>
      </c>
      <c r="FB225" s="5">
        <v>-8.3311057951895501E-2</v>
      </c>
      <c r="FC225" s="5">
        <v>0.14207934057746499</v>
      </c>
      <c r="FD225" s="5">
        <v>-9.1606708667530304E-2</v>
      </c>
      <c r="FE225" s="5">
        <v>0.16800942192034701</v>
      </c>
      <c r="FF225" s="5">
        <v>-0.109213568933386</v>
      </c>
      <c r="FG225" s="5">
        <v>0.16090346667571301</v>
      </c>
      <c r="FH225" s="5">
        <v>3.0745744352424501E-2</v>
      </c>
      <c r="FI225" s="5">
        <v>-1.4948775048832E-2</v>
      </c>
      <c r="FJ225" s="5">
        <v>-0.15821190070021299</v>
      </c>
      <c r="FK225" s="5">
        <v>0.240093197752036</v>
      </c>
      <c r="FL225" s="5">
        <v>-4.2167456653766602E-2</v>
      </c>
      <c r="FM225" s="5">
        <v>1.59434595292102E-2</v>
      </c>
      <c r="FN225" s="5">
        <v>-0.13857861191680201</v>
      </c>
      <c r="FO225" s="5">
        <v>0.25287059439944398</v>
      </c>
      <c r="FP225" s="5">
        <v>-9.9525289792885802E-2</v>
      </c>
      <c r="FQ225" s="5">
        <v>0.22146337287934401</v>
      </c>
      <c r="FR225" s="5">
        <v>8.75558209693479E-2</v>
      </c>
      <c r="FS225" s="5">
        <v>-0.29667019162455899</v>
      </c>
      <c r="FT225" s="5">
        <v>-6.9199949152186399E-2</v>
      </c>
      <c r="FU225" s="5">
        <v>0.1641657568257</v>
      </c>
      <c r="FV225" s="5">
        <v>-7.1791940398646198E-2</v>
      </c>
      <c r="FW225" s="5">
        <v>0.16259347664405099</v>
      </c>
      <c r="FX225" s="5">
        <v>-0.11718010474294201</v>
      </c>
      <c r="FY225" s="5">
        <v>0.21088228574887899</v>
      </c>
      <c r="FZ225" s="5">
        <v>-6.3169517049939006E-2</v>
      </c>
      <c r="GA225" s="5">
        <v>0.153044686104266</v>
      </c>
      <c r="GB225" s="5">
        <v>-3.8372326713708098E-2</v>
      </c>
      <c r="GC225" s="5">
        <v>5.9742084536700102E-2</v>
      </c>
      <c r="GD225" s="5">
        <v>-0.13372239426958199</v>
      </c>
      <c r="GE225" s="5">
        <v>0.145871564760088</v>
      </c>
      <c r="GF225" s="5">
        <v>0.147755212818555</v>
      </c>
      <c r="GG225" s="5">
        <v>-5.4244843385711602E-2</v>
      </c>
      <c r="GH225" s="5">
        <v>5.1393956077681199E-2</v>
      </c>
      <c r="GI225" s="5">
        <v>-0.12504479844646399</v>
      </c>
      <c r="GJ225" s="5">
        <v>-0.16554741764106001</v>
      </c>
      <c r="GK225" s="5">
        <v>0.32217585827002898</v>
      </c>
      <c r="GL225" s="5">
        <v>-0.163878513655626</v>
      </c>
      <c r="GM225" s="5">
        <v>0.16847185962188699</v>
      </c>
      <c r="GN225" s="5">
        <v>-9.1321200067595296E-2</v>
      </c>
      <c r="GO225" s="5">
        <v>0.166897560354061</v>
      </c>
      <c r="GP225" s="5">
        <v>-0.16628898973307599</v>
      </c>
      <c r="GQ225" s="5">
        <v>0.31830047129632999</v>
      </c>
      <c r="GR225" s="5">
        <v>-0.123948849386131</v>
      </c>
      <c r="GS225" s="5">
        <v>0.27989562111955202</v>
      </c>
      <c r="GT225" s="5">
        <v>-2.43717690497084E-4</v>
      </c>
      <c r="GU225" s="5">
        <v>3.3650667932261201E-2</v>
      </c>
      <c r="GV225" s="5">
        <v>-0.117720091923546</v>
      </c>
      <c r="GW225" s="5">
        <v>0.164481350009824</v>
      </c>
      <c r="GX225" s="5">
        <v>-0.18829119585006901</v>
      </c>
      <c r="GY225" s="5">
        <v>0.34616424892319198</v>
      </c>
      <c r="GZ225" s="5">
        <v>-4.83336903442078E-2</v>
      </c>
      <c r="HA225" s="5">
        <v>-6.48609088970951E-3</v>
      </c>
      <c r="HB225" s="5">
        <v>3.0787029791194801E-2</v>
      </c>
      <c r="HC225" s="5">
        <v>6.6323517400101598E-3</v>
      </c>
      <c r="HD225" s="5">
        <v>-1.96764558519954E-2</v>
      </c>
      <c r="HE225" s="5">
        <v>-2.72067973301121E-3</v>
      </c>
      <c r="HF225" s="5">
        <v>-0.125221969759127</v>
      </c>
      <c r="HG225" s="5">
        <v>9.4784271193441197E-2</v>
      </c>
      <c r="HH225" s="5">
        <v>-8.3947118348542807E-2</v>
      </c>
      <c r="HI225" s="5">
        <v>7.5141114422357394E-2</v>
      </c>
      <c r="HJ225" s="5">
        <v>-0.13098607711049801</v>
      </c>
      <c r="HK225" s="5">
        <v>9.9664904751767203E-2</v>
      </c>
      <c r="HL225" s="5">
        <v>-3.29569906587866E-2</v>
      </c>
      <c r="HM225" s="5">
        <v>7.9573972066878995E-2</v>
      </c>
      <c r="HN225" s="5">
        <v>-9.6469645859338302E-2</v>
      </c>
      <c r="HO225" s="5">
        <v>0.124768520929691</v>
      </c>
      <c r="HP225" s="5">
        <v>-0.70743645582685899</v>
      </c>
      <c r="HQ225" s="5">
        <v>1</v>
      </c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</row>
    <row r="226" spans="1:389" x14ac:dyDescent="0.45">
      <c r="A226" s="4" t="str">
        <f ca="1">"MEX / beta1dist in "&amp;CELL("address",'damages-1990'!$J$114)</f>
        <v>MEX / beta1dist in '[BHM betas v3pd.xlsx]damages-1990'!$J$114</v>
      </c>
      <c r="B226" s="6">
        <v>0.32060546543688401</v>
      </c>
      <c r="C226" s="5">
        <v>0.21886812202073799</v>
      </c>
      <c r="D226" s="5">
        <v>0.58508909714510504</v>
      </c>
      <c r="E226" s="5">
        <v>-0.12938804278983601</v>
      </c>
      <c r="F226" s="5">
        <v>0.26672913103476298</v>
      </c>
      <c r="G226" s="5">
        <v>0.10163523079846599</v>
      </c>
      <c r="H226" s="5">
        <v>-0.172570591457473</v>
      </c>
      <c r="I226" s="5">
        <v>0.17714618177331301</v>
      </c>
      <c r="J226" s="5">
        <v>0.58060405726494502</v>
      </c>
      <c r="K226" s="5">
        <v>-0.12931358663394901</v>
      </c>
      <c r="L226" s="5">
        <v>0.58381775269776803</v>
      </c>
      <c r="M226" s="5">
        <v>-0.15235518869241599</v>
      </c>
      <c r="N226" s="5">
        <v>1.7863480194122499E-3</v>
      </c>
      <c r="O226" s="5">
        <v>4.9982451192406498E-2</v>
      </c>
      <c r="P226" s="5">
        <v>0.20803581265916099</v>
      </c>
      <c r="Q226" s="5">
        <v>5.0966015963540001E-2</v>
      </c>
      <c r="R226" s="5">
        <v>0.58765089345384103</v>
      </c>
      <c r="S226" s="5">
        <v>-0.12875487642435099</v>
      </c>
      <c r="T226" s="5">
        <v>-8.7177413826365402E-2</v>
      </c>
      <c r="U226" s="5">
        <v>0.12872824052832699</v>
      </c>
      <c r="V226" s="5">
        <v>0.28098251972919902</v>
      </c>
      <c r="W226" s="5">
        <v>0.27977992804625601</v>
      </c>
      <c r="X226" s="5">
        <v>0.57996058096374203</v>
      </c>
      <c r="Y226" s="5">
        <v>-0.14316338155957201</v>
      </c>
      <c r="Z226" s="5">
        <v>5.24228236488537E-2</v>
      </c>
      <c r="AA226" s="5">
        <v>0.14098859867218499</v>
      </c>
      <c r="AB226" s="5">
        <v>0.41881848556840101</v>
      </c>
      <c r="AC226" s="5">
        <v>-9.5775174608417002E-2</v>
      </c>
      <c r="AD226" s="5">
        <v>0.40096137150512701</v>
      </c>
      <c r="AE226" s="5">
        <v>-4.3132363342881397E-2</v>
      </c>
      <c r="AF226" s="5">
        <v>0.49075987335746502</v>
      </c>
      <c r="AG226" s="5">
        <v>-0.15400126922117</v>
      </c>
      <c r="AH226" s="5">
        <v>0.16268010973764299</v>
      </c>
      <c r="AI226" s="5">
        <v>0.15101486002636499</v>
      </c>
      <c r="AJ226" s="5">
        <v>0.52985875823672601</v>
      </c>
      <c r="AK226" s="5">
        <v>-8.0721557491487197E-2</v>
      </c>
      <c r="AL226" s="5">
        <v>0.48547924396018599</v>
      </c>
      <c r="AM226" s="5">
        <v>-0.26208360240566098</v>
      </c>
      <c r="AN226" s="5">
        <v>5.9347487689355397E-2</v>
      </c>
      <c r="AO226" s="5">
        <v>0.14035758747833599</v>
      </c>
      <c r="AP226" s="5">
        <v>-0.14188062308549401</v>
      </c>
      <c r="AQ226" s="5">
        <v>0.19666644962059801</v>
      </c>
      <c r="AR226" s="5">
        <v>0.59538380740982499</v>
      </c>
      <c r="AS226" s="5">
        <v>-0.28853809483693199</v>
      </c>
      <c r="AT226" s="5">
        <v>0.36417845380754099</v>
      </c>
      <c r="AU226" s="5">
        <v>-0.110513150211153</v>
      </c>
      <c r="AV226" s="5">
        <v>0.61483720833662603</v>
      </c>
      <c r="AW226" s="5">
        <v>-0.17867444500197499</v>
      </c>
      <c r="AX226" s="5">
        <v>0.62897123866115301</v>
      </c>
      <c r="AY226" s="5">
        <v>-0.23618482721384401</v>
      </c>
      <c r="AZ226" s="5">
        <v>0.29260419032323698</v>
      </c>
      <c r="BA226" s="5">
        <v>-6.4500742467156105E-2</v>
      </c>
      <c r="BB226" s="5">
        <v>0.54084244833598005</v>
      </c>
      <c r="BC226" s="5">
        <v>-9.3441656819823193E-2</v>
      </c>
      <c r="BD226" s="5">
        <v>0.177423727782478</v>
      </c>
      <c r="BE226" s="5">
        <v>0.32289395321515602</v>
      </c>
      <c r="BF226" s="5">
        <v>0.48685028749842901</v>
      </c>
      <c r="BG226" s="5">
        <v>-0.104413190326629</v>
      </c>
      <c r="BH226" s="5">
        <v>0.60921691302288905</v>
      </c>
      <c r="BI226" s="5">
        <v>-0.207960758563911</v>
      </c>
      <c r="BJ226" s="5">
        <v>-0.23681888703215501</v>
      </c>
      <c r="BK226" s="5">
        <v>5.9815269120795898E-2</v>
      </c>
      <c r="BL226" s="5">
        <v>-8.6020973429872902E-2</v>
      </c>
      <c r="BM226" s="5">
        <v>9.4655017688987195E-2</v>
      </c>
      <c r="BN226" s="5">
        <v>6.4428408915228697E-4</v>
      </c>
      <c r="BO226" s="5">
        <v>0.18505705650700599</v>
      </c>
      <c r="BP226" s="5">
        <v>-0.148254366856299</v>
      </c>
      <c r="BQ226" s="5">
        <v>0.37977055562011203</v>
      </c>
      <c r="BR226" s="5">
        <v>0.43703350248447398</v>
      </c>
      <c r="BS226" s="5">
        <v>-0.111159272728948</v>
      </c>
      <c r="BT226" s="5">
        <v>0.63998233110089797</v>
      </c>
      <c r="BU226" s="5">
        <v>-0.232909253782808</v>
      </c>
      <c r="BV226" s="5">
        <v>0.63059343492412401</v>
      </c>
      <c r="BW226" s="5">
        <v>-0.215556844918909</v>
      </c>
      <c r="BX226" s="5">
        <v>0.575098816407278</v>
      </c>
      <c r="BY226" s="5">
        <v>-0.227591162558516</v>
      </c>
      <c r="BZ226" s="5">
        <v>0.59882373023901303</v>
      </c>
      <c r="CA226" s="5">
        <v>-0.21188677908961301</v>
      </c>
      <c r="CB226" s="5">
        <v>0.40598972085309998</v>
      </c>
      <c r="CC226" s="5">
        <v>-0.14447020000373501</v>
      </c>
      <c r="CD226" s="5">
        <v>0.185234246426</v>
      </c>
      <c r="CE226" s="5">
        <v>0.118529242828659</v>
      </c>
      <c r="CF226" s="5">
        <v>0.405019098290408</v>
      </c>
      <c r="CG226" s="5">
        <v>-0.13874107777095901</v>
      </c>
      <c r="CH226" s="5">
        <v>0.48130450422292098</v>
      </c>
      <c r="CI226" s="5">
        <v>-0.29850532853248801</v>
      </c>
      <c r="CJ226" s="5">
        <v>0.32826096264626697</v>
      </c>
      <c r="CK226" s="5">
        <v>5.4775828362293902E-2</v>
      </c>
      <c r="CL226" s="5">
        <v>-2.8823716306501799E-2</v>
      </c>
      <c r="CM226" s="5">
        <v>0.130164036649527</v>
      </c>
      <c r="CN226" s="5">
        <v>2.9819660224937902E-3</v>
      </c>
      <c r="CO226" s="5">
        <v>0.143635267812809</v>
      </c>
      <c r="CP226" s="5">
        <v>0.37976235046212797</v>
      </c>
      <c r="CQ226" s="5">
        <v>-9.44162845646387E-2</v>
      </c>
      <c r="CR226" s="5">
        <v>0.25511682283625903</v>
      </c>
      <c r="CS226" s="5">
        <v>1.7033265569693701E-2</v>
      </c>
      <c r="CT226" s="5">
        <v>9.6188547960753597E-4</v>
      </c>
      <c r="CU226" s="5">
        <v>6.4238591849432702E-2</v>
      </c>
      <c r="CV226" s="5">
        <v>0.30102293417327503</v>
      </c>
      <c r="CW226" s="5">
        <v>-3.8408582056863601E-2</v>
      </c>
      <c r="CX226" s="5">
        <v>0.59739330151007597</v>
      </c>
      <c r="CY226" s="5">
        <v>-0.148493536401302</v>
      </c>
      <c r="CZ226" s="5">
        <v>0.53871319267527396</v>
      </c>
      <c r="DA226" s="5">
        <v>-0.175964773522651</v>
      </c>
      <c r="DB226" s="5">
        <v>0.561719663792975</v>
      </c>
      <c r="DC226" s="5">
        <v>-4.0926712384436403E-2</v>
      </c>
      <c r="DD226" s="5">
        <v>0.32107406255641002</v>
      </c>
      <c r="DE226" s="5">
        <v>3.2497497570940601E-2</v>
      </c>
      <c r="DF226" s="5">
        <v>0.45293567393247602</v>
      </c>
      <c r="DG226" s="5">
        <v>-4.7818068968279802E-2</v>
      </c>
      <c r="DH226" s="5">
        <v>0.37019395135653499</v>
      </c>
      <c r="DI226" s="5">
        <v>7.4107111735673498E-2</v>
      </c>
      <c r="DJ226" s="5">
        <v>-0.11911617710181201</v>
      </c>
      <c r="DK226" s="5">
        <v>0.150524051518234</v>
      </c>
      <c r="DL226" s="5">
        <v>0.51359896178998499</v>
      </c>
      <c r="DM226" s="5">
        <v>-9.4799455752280201E-2</v>
      </c>
      <c r="DN226" s="5">
        <v>-0.23641828047253799</v>
      </c>
      <c r="DO226" s="5">
        <v>0.20850606613155701</v>
      </c>
      <c r="DP226" s="5">
        <v>0.406779169058612</v>
      </c>
      <c r="DQ226" s="5">
        <v>-8.7099899131596506E-2</v>
      </c>
      <c r="DR226" s="5">
        <v>0.170078812991318</v>
      </c>
      <c r="DS226" s="5">
        <v>0.13602789800092699</v>
      </c>
      <c r="DT226" s="5">
        <v>0.47112985301951399</v>
      </c>
      <c r="DU226" s="5">
        <v>-0.25806203290201701</v>
      </c>
      <c r="DV226" s="5">
        <v>0.407660767480376</v>
      </c>
      <c r="DW226" s="5">
        <v>-9.5926169985081106E-2</v>
      </c>
      <c r="DX226" s="5">
        <v>-0.10762136491570801</v>
      </c>
      <c r="DY226" s="5">
        <v>0.22587415051909299</v>
      </c>
      <c r="DZ226" s="5">
        <v>4.8767493531779199E-2</v>
      </c>
      <c r="EA226" s="5">
        <v>2.88409887933101E-2</v>
      </c>
      <c r="EB226" s="5">
        <v>0.45804612354617102</v>
      </c>
      <c r="EC226" s="5">
        <v>-0.112285280637373</v>
      </c>
      <c r="ED226" s="5">
        <v>0.57727488161099505</v>
      </c>
      <c r="EE226" s="5">
        <v>-0.18559657404792901</v>
      </c>
      <c r="EF226" s="5">
        <v>0.216230572556352</v>
      </c>
      <c r="EG226" s="5">
        <v>4.0169491572509597E-2</v>
      </c>
      <c r="EH226" s="5">
        <v>0.47722727584814201</v>
      </c>
      <c r="EI226" s="5">
        <v>-5.27732623462683E-2</v>
      </c>
      <c r="EJ226" s="5">
        <v>0.48250085346154098</v>
      </c>
      <c r="EK226" s="5">
        <v>-6.0648091730419899E-2</v>
      </c>
      <c r="EL226" s="5">
        <v>0.61091702270828296</v>
      </c>
      <c r="EM226" s="5">
        <v>-0.25666176366857402</v>
      </c>
      <c r="EN226" s="5">
        <v>0.42152502439471601</v>
      </c>
      <c r="EO226" s="5">
        <v>-3.1294939879091002E-2</v>
      </c>
      <c r="EP226" s="5">
        <v>0.32528431562575</v>
      </c>
      <c r="EQ226" s="5">
        <v>-8.3861950178480998E-2</v>
      </c>
      <c r="ER226" s="5">
        <v>0.64478992110979305</v>
      </c>
      <c r="ES226" s="5">
        <v>-0.29086080278544701</v>
      </c>
      <c r="ET226" s="5">
        <v>0.45468258079228402</v>
      </c>
      <c r="EU226" s="5">
        <v>-0.161497077942965</v>
      </c>
      <c r="EV226" s="5">
        <v>0.50444071060294404</v>
      </c>
      <c r="EW226" s="5">
        <v>-0.18787611970891499</v>
      </c>
      <c r="EX226" s="5">
        <v>0.45957109062281698</v>
      </c>
      <c r="EY226" s="5">
        <v>-0.197815972095638</v>
      </c>
      <c r="EZ226" s="5">
        <v>0.55788524267588602</v>
      </c>
      <c r="FA226" s="5">
        <v>-0.20244086725097199</v>
      </c>
      <c r="FB226" s="5">
        <v>0.226832731226878</v>
      </c>
      <c r="FC226" s="5">
        <v>8.2457090959392298E-2</v>
      </c>
      <c r="FD226" s="5">
        <v>0.35007795777013601</v>
      </c>
      <c r="FE226" s="5">
        <v>-8.15182056248418E-2</v>
      </c>
      <c r="FF226" s="5">
        <v>0.13964508969917899</v>
      </c>
      <c r="FG226" s="5">
        <v>0.12507913542590299</v>
      </c>
      <c r="FH226" s="5">
        <v>0.64779090277212903</v>
      </c>
      <c r="FI226" s="5">
        <v>-0.36039365566106502</v>
      </c>
      <c r="FJ226" s="5">
        <v>0.56071352400529795</v>
      </c>
      <c r="FK226" s="5">
        <v>-7.1186532278385894E-2</v>
      </c>
      <c r="FL226" s="5">
        <v>-0.119454553929871</v>
      </c>
      <c r="FM226" s="5">
        <v>0.25432606107641298</v>
      </c>
      <c r="FN226" s="5">
        <v>0.53423815097016203</v>
      </c>
      <c r="FO226" s="5">
        <v>-2.3095060180625501E-2</v>
      </c>
      <c r="FP226" s="5">
        <v>0.56675002620734904</v>
      </c>
      <c r="FQ226" s="5">
        <v>-8.6386037617668596E-2</v>
      </c>
      <c r="FR226" s="5">
        <v>-0.163797734744558</v>
      </c>
      <c r="FS226" s="5">
        <v>0.108485734480436</v>
      </c>
      <c r="FT226" s="5">
        <v>0.56264569948232102</v>
      </c>
      <c r="FU226" s="5">
        <v>-5.6169457370543498E-2</v>
      </c>
      <c r="FV226" s="5">
        <v>0.36587391239682299</v>
      </c>
      <c r="FW226" s="5">
        <v>8.5357846046639901E-3</v>
      </c>
      <c r="FX226" s="5">
        <v>0.46058563693935001</v>
      </c>
      <c r="FY226" s="5">
        <v>-0.195047993264819</v>
      </c>
      <c r="FZ226" s="5">
        <v>0.58254378736775603</v>
      </c>
      <c r="GA226" s="5">
        <v>-4.8832527344037403E-2</v>
      </c>
      <c r="GB226" s="5">
        <v>0.154739141509697</v>
      </c>
      <c r="GC226" s="5">
        <v>0.247770280675878</v>
      </c>
      <c r="GD226" s="5">
        <v>-9.9754924999240602E-2</v>
      </c>
      <c r="GE226" s="5">
        <v>0.145355638446451</v>
      </c>
      <c r="GF226" s="5">
        <v>0.496477894029138</v>
      </c>
      <c r="GG226" s="5">
        <v>-8.5045181043609794E-2</v>
      </c>
      <c r="GH226" s="5">
        <v>-0.30236409318784802</v>
      </c>
      <c r="GI226" s="5">
        <v>0.223982619802019</v>
      </c>
      <c r="GJ226" s="5">
        <v>0.50994461235300603</v>
      </c>
      <c r="GK226" s="5">
        <v>-0.239439525059538</v>
      </c>
      <c r="GL226" s="5">
        <v>0.19538165684382</v>
      </c>
      <c r="GM226" s="5">
        <v>6.1667594100450702E-2</v>
      </c>
      <c r="GN226" s="5">
        <v>0.22434057331680901</v>
      </c>
      <c r="GO226" s="5">
        <v>0.191712245795298</v>
      </c>
      <c r="GP226" s="5">
        <v>0.58395569349664</v>
      </c>
      <c r="GQ226" s="5">
        <v>-0.13014925950390499</v>
      </c>
      <c r="GR226" s="5">
        <v>0.51173576241284702</v>
      </c>
      <c r="GS226" s="5">
        <v>-0.24548692145418199</v>
      </c>
      <c r="GT226" s="5">
        <v>0.46782632131270102</v>
      </c>
      <c r="GU226" s="5">
        <v>1.01200470289556E-2</v>
      </c>
      <c r="GV226" s="5">
        <v>0.43194578517947102</v>
      </c>
      <c r="GW226" s="5">
        <v>-0.14011335888840301</v>
      </c>
      <c r="GX226" s="5">
        <v>0.624457895883342</v>
      </c>
      <c r="GY226" s="5">
        <v>-0.215368358730017</v>
      </c>
      <c r="GZ226" s="5">
        <v>-9.0591692454656106E-2</v>
      </c>
      <c r="HA226" s="5">
        <v>9.9936796053405899E-2</v>
      </c>
      <c r="HB226" s="5">
        <v>0.55641981056217804</v>
      </c>
      <c r="HC226" s="5">
        <v>-0.221752347099819</v>
      </c>
      <c r="HD226" s="5">
        <v>0.26113813748460701</v>
      </c>
      <c r="HE226" s="5">
        <v>0.24565934619948501</v>
      </c>
      <c r="HF226" s="5">
        <v>-0.124980006676184</v>
      </c>
      <c r="HG226" s="5">
        <v>0.18049338570522799</v>
      </c>
      <c r="HH226" s="5">
        <v>2.1652236679790701E-2</v>
      </c>
      <c r="HI226" s="5">
        <v>0.14979739813999701</v>
      </c>
      <c r="HJ226" s="5">
        <v>-0.122977017855449</v>
      </c>
      <c r="HK226" s="5">
        <v>0.16101893395542899</v>
      </c>
      <c r="HL226" s="5">
        <v>0.480946501553703</v>
      </c>
      <c r="HM226" s="5">
        <v>-1.5859505266652699E-2</v>
      </c>
      <c r="HN226" s="5">
        <v>7.4264891324223495E-2</v>
      </c>
      <c r="HO226" s="5">
        <v>0.176481600348249</v>
      </c>
      <c r="HP226" s="5">
        <v>0.50245322061395103</v>
      </c>
      <c r="HQ226" s="5">
        <v>-6.2420068828807303E-2</v>
      </c>
      <c r="HR226" s="5">
        <v>1</v>
      </c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</row>
    <row r="227" spans="1:389" x14ac:dyDescent="0.45">
      <c r="A227" s="4" t="str">
        <f ca="1">"MEX / beta2dist in "&amp;CELL("address",'damages-1990'!$K$114)</f>
        <v>MEX / beta2dist in '[BHM betas v3pd.xlsx]damages-1990'!$K$114</v>
      </c>
      <c r="B227" s="6">
        <v>-8.1326782645886206E-2</v>
      </c>
      <c r="C227" s="5">
        <v>-4.4417459304574303E-2</v>
      </c>
      <c r="D227" s="5">
        <v>-0.32593153688740001</v>
      </c>
      <c r="E227" s="5">
        <v>0.37557079365553198</v>
      </c>
      <c r="F227" s="5">
        <v>-0.13107010850294601</v>
      </c>
      <c r="G227" s="5">
        <v>7.14401999845794E-2</v>
      </c>
      <c r="H227" s="5">
        <v>6.7293943747798499E-2</v>
      </c>
      <c r="I227" s="5">
        <v>-0.118446447475256</v>
      </c>
      <c r="J227" s="5">
        <v>-0.263576499179276</v>
      </c>
      <c r="K227" s="5">
        <v>0.26549805487070999</v>
      </c>
      <c r="L227" s="5">
        <v>-0.272469162694152</v>
      </c>
      <c r="M227" s="5">
        <v>0.24730392788014499</v>
      </c>
      <c r="N227" s="5">
        <v>-4.6849914569294E-2</v>
      </c>
      <c r="O227" s="5">
        <v>3.5037559702809098E-2</v>
      </c>
      <c r="P227" s="5">
        <v>-0.183336427038642</v>
      </c>
      <c r="Q227" s="5">
        <v>0.18461506938792299</v>
      </c>
      <c r="R227" s="5">
        <v>-0.27457898178950602</v>
      </c>
      <c r="S227" s="5">
        <v>0.30566962288476901</v>
      </c>
      <c r="T227" s="5">
        <v>-6.9888850946305502E-3</v>
      </c>
      <c r="U227" s="5">
        <v>-8.5288052813829E-3</v>
      </c>
      <c r="V227" s="5">
        <v>-4.7086141108635699E-3</v>
      </c>
      <c r="W227" s="5">
        <v>-0.196023177597655</v>
      </c>
      <c r="X227" s="5">
        <v>-0.38869260466180999</v>
      </c>
      <c r="Y227" s="5">
        <v>0.44349078375651402</v>
      </c>
      <c r="Z227" s="5">
        <v>-4.9259551496686801E-2</v>
      </c>
      <c r="AA227" s="5">
        <v>-1.0136509233840201E-2</v>
      </c>
      <c r="AB227" s="5">
        <v>-0.18443751122108601</v>
      </c>
      <c r="AC227" s="5">
        <v>0.26154590341302703</v>
      </c>
      <c r="AD227" s="5">
        <v>-0.18867458252543401</v>
      </c>
      <c r="AE227" s="5">
        <v>0.24405254773138699</v>
      </c>
      <c r="AF227" s="5">
        <v>-0.197313919305797</v>
      </c>
      <c r="AG227" s="5">
        <v>0.24343723663883701</v>
      </c>
      <c r="AH227" s="5">
        <v>-5.8270678839972903E-2</v>
      </c>
      <c r="AI227" s="5">
        <v>-6.9787080778630503E-4</v>
      </c>
      <c r="AJ227" s="5">
        <v>-0.26641058655800098</v>
      </c>
      <c r="AK227" s="5">
        <v>0.23660517300115699</v>
      </c>
      <c r="AL227" s="5">
        <v>-0.236307103150901</v>
      </c>
      <c r="AM227" s="5">
        <v>0.26381742105091299</v>
      </c>
      <c r="AN227" s="5">
        <v>-6.4356922088444304E-2</v>
      </c>
      <c r="AO227" s="5">
        <v>2.7277987735207902E-2</v>
      </c>
      <c r="AP227" s="5">
        <v>8.94213252231091E-3</v>
      </c>
      <c r="AQ227" s="5">
        <v>-1.76006739514602E-2</v>
      </c>
      <c r="AR227" s="5">
        <v>-0.30286690301667601</v>
      </c>
      <c r="AS227" s="5">
        <v>0.37871636319503799</v>
      </c>
      <c r="AT227" s="5">
        <v>-5.1390651091919003E-2</v>
      </c>
      <c r="AU227" s="5">
        <v>-2.0660821684242601E-3</v>
      </c>
      <c r="AV227" s="5">
        <v>-0.24860307305682999</v>
      </c>
      <c r="AW227" s="5">
        <v>0.31676638250671202</v>
      </c>
      <c r="AX227" s="5">
        <v>-0.295744121864636</v>
      </c>
      <c r="AY227" s="5">
        <v>0.41283489179034</v>
      </c>
      <c r="AZ227" s="5">
        <v>-0.19874646751757299</v>
      </c>
      <c r="BA227" s="5">
        <v>0.23371830760877699</v>
      </c>
      <c r="BB227" s="5">
        <v>-0.20535174154751901</v>
      </c>
      <c r="BC227" s="5">
        <v>0.23374074003927001</v>
      </c>
      <c r="BD227" s="5">
        <v>-7.3536417426065995E-2</v>
      </c>
      <c r="BE227" s="5">
        <v>-3.8152722367101301E-2</v>
      </c>
      <c r="BF227" s="5">
        <v>-0.24311268052186899</v>
      </c>
      <c r="BG227" s="5">
        <v>0.24440930121834001</v>
      </c>
      <c r="BH227" s="5">
        <v>-0.31726688772160999</v>
      </c>
      <c r="BI227" s="5">
        <v>0.41333994569993798</v>
      </c>
      <c r="BJ227" s="5">
        <v>-3.6190833731036501E-2</v>
      </c>
      <c r="BK227" s="5">
        <v>2.5758652546533999E-2</v>
      </c>
      <c r="BL227" s="5">
        <v>-4.26964541172127E-2</v>
      </c>
      <c r="BM227" s="5">
        <v>2.7252707817646799E-2</v>
      </c>
      <c r="BN227" s="5">
        <v>-4.5196626937782598E-2</v>
      </c>
      <c r="BO227" s="5">
        <v>-4.9631889048050097E-2</v>
      </c>
      <c r="BP227" s="5">
        <v>8.9419959367800797E-2</v>
      </c>
      <c r="BQ227" s="5">
        <v>-0.26659847445212698</v>
      </c>
      <c r="BR227" s="5">
        <v>-0.30925467960770597</v>
      </c>
      <c r="BS227" s="5">
        <v>0.39081329173115698</v>
      </c>
      <c r="BT227" s="5">
        <v>-0.32264164440397902</v>
      </c>
      <c r="BU227" s="5">
        <v>0.43437375333337203</v>
      </c>
      <c r="BV227" s="5">
        <v>-0.40303351115338099</v>
      </c>
      <c r="BW227" s="5">
        <v>0.50059793033664102</v>
      </c>
      <c r="BX227" s="5">
        <v>-0.35110257873487</v>
      </c>
      <c r="BY227" s="5">
        <v>0.473576161860645</v>
      </c>
      <c r="BZ227" s="5">
        <v>-0.37698060092896402</v>
      </c>
      <c r="CA227" s="5">
        <v>0.44855498322509502</v>
      </c>
      <c r="CB227" s="5">
        <v>-0.252714218485248</v>
      </c>
      <c r="CC227" s="5">
        <v>0.339003449950672</v>
      </c>
      <c r="CD227" s="5">
        <v>1.1985114745889199E-2</v>
      </c>
      <c r="CE227" s="5">
        <v>-6.8088893811799403E-2</v>
      </c>
      <c r="CF227" s="5">
        <v>-0.233311237165859</v>
      </c>
      <c r="CG227" s="5">
        <v>0.28455836505066201</v>
      </c>
      <c r="CH227" s="5">
        <v>-0.21526867018375301</v>
      </c>
      <c r="CI227" s="5">
        <v>0.27201804062684498</v>
      </c>
      <c r="CJ227" s="5">
        <v>-0.10297449250194</v>
      </c>
      <c r="CK227" s="5">
        <v>-7.7042642358097404E-3</v>
      </c>
      <c r="CL227" s="5">
        <v>-1.4118307240894299E-2</v>
      </c>
      <c r="CM227" s="5">
        <v>-1.5958610550451301E-2</v>
      </c>
      <c r="CN227" s="5">
        <v>-3.0794372038220299E-2</v>
      </c>
      <c r="CO227" s="5">
        <v>-1.6869860297186699E-2</v>
      </c>
      <c r="CP227" s="5">
        <v>-0.31003449245215098</v>
      </c>
      <c r="CQ227" s="5">
        <v>0.34626581961472602</v>
      </c>
      <c r="CR227" s="5">
        <v>-0.206656187898273</v>
      </c>
      <c r="CS227" s="5">
        <v>0.21636532237624201</v>
      </c>
      <c r="CT227" s="5">
        <v>-9.4872214607545594E-2</v>
      </c>
      <c r="CU227" s="5">
        <v>8.0742310488524899E-2</v>
      </c>
      <c r="CV227" s="5">
        <v>-0.21394569487918</v>
      </c>
      <c r="CW227" s="5">
        <v>0.27870961113201098</v>
      </c>
      <c r="CX227" s="5">
        <v>-0.326099299056968</v>
      </c>
      <c r="CY227" s="5">
        <v>0.325290444699043</v>
      </c>
      <c r="CZ227" s="5">
        <v>-0.338343147297342</v>
      </c>
      <c r="DA227" s="5">
        <v>0.396221038935408</v>
      </c>
      <c r="DB227" s="5">
        <v>-0.26116159591499599</v>
      </c>
      <c r="DC227" s="5">
        <v>0.189072990431221</v>
      </c>
      <c r="DD227" s="5">
        <v>-0.15098317959795099</v>
      </c>
      <c r="DE227" s="5">
        <v>0.19189924547826401</v>
      </c>
      <c r="DF227" s="5">
        <v>-0.163376260954437</v>
      </c>
      <c r="DG227" s="5">
        <v>0.128927031407675</v>
      </c>
      <c r="DH227" s="5">
        <v>-0.18357039501689401</v>
      </c>
      <c r="DI227" s="5">
        <v>0.136775934547883</v>
      </c>
      <c r="DJ227" s="5">
        <v>-7.0061823673227594E-2</v>
      </c>
      <c r="DK227" s="5">
        <v>4.2539054186886402E-2</v>
      </c>
      <c r="DL227" s="5">
        <v>-0.30430802451167399</v>
      </c>
      <c r="DM227" s="5">
        <v>0.37118197152821403</v>
      </c>
      <c r="DN227" s="5">
        <v>2.7932976082117901E-2</v>
      </c>
      <c r="DO227" s="5">
        <v>-7.2240626595331994E-2</v>
      </c>
      <c r="DP227" s="5">
        <v>1.6157236112041801E-2</v>
      </c>
      <c r="DQ227" s="5">
        <v>-3.3716139782220697E-2</v>
      </c>
      <c r="DR227" s="5">
        <v>-0.10027071137042901</v>
      </c>
      <c r="DS227" s="5">
        <v>3.0569435019692E-2</v>
      </c>
      <c r="DT227" s="5">
        <v>-0.45380749953956001</v>
      </c>
      <c r="DU227" s="5">
        <v>0.46127297803328898</v>
      </c>
      <c r="DV227" s="5">
        <v>-0.263567975412837</v>
      </c>
      <c r="DW227" s="5">
        <v>0.33834816814790702</v>
      </c>
      <c r="DX227" s="5">
        <v>5.7344342395387098E-2</v>
      </c>
      <c r="DY227" s="5">
        <v>-0.115326780289811</v>
      </c>
      <c r="DZ227" s="5">
        <v>-8.0672638524437804E-2</v>
      </c>
      <c r="EA227" s="5">
        <v>8.8175692174173495E-2</v>
      </c>
      <c r="EB227" s="5">
        <v>-0.25209140984088002</v>
      </c>
      <c r="EC227" s="5">
        <v>0.34139491646985298</v>
      </c>
      <c r="ED227" s="5">
        <v>-0.37666413422984901</v>
      </c>
      <c r="EE227" s="5">
        <v>0.43896221256308099</v>
      </c>
      <c r="EF227" s="5">
        <v>-0.197667655485913</v>
      </c>
      <c r="EG227" s="5">
        <v>0.19876807359293</v>
      </c>
      <c r="EH227" s="5">
        <v>-0.18827926186538299</v>
      </c>
      <c r="EI227" s="5">
        <v>0.22623168728098</v>
      </c>
      <c r="EJ227" s="5">
        <v>-0.218162084243334</v>
      </c>
      <c r="EK227" s="5">
        <v>0.26570399531911099</v>
      </c>
      <c r="EL227" s="5">
        <v>-0.31173769300993298</v>
      </c>
      <c r="EM227" s="5">
        <v>0.399000640461803</v>
      </c>
      <c r="EN227" s="5">
        <v>-0.16649674501829501</v>
      </c>
      <c r="EO227" s="5">
        <v>7.8327945690327805E-2</v>
      </c>
      <c r="EP227" s="5">
        <v>-0.23614786082525499</v>
      </c>
      <c r="EQ227" s="5">
        <v>0.27676161569949498</v>
      </c>
      <c r="ER227" s="5">
        <v>-0.350632584631064</v>
      </c>
      <c r="ES227" s="5">
        <v>0.44628155246409501</v>
      </c>
      <c r="ET227" s="5">
        <v>-0.13467432655455999</v>
      </c>
      <c r="EU227" s="5">
        <v>0.252271897091842</v>
      </c>
      <c r="EV227" s="5">
        <v>-0.237677994108667</v>
      </c>
      <c r="EW227" s="5">
        <v>0.34123522275402202</v>
      </c>
      <c r="EX227" s="5">
        <v>-0.12628035702045901</v>
      </c>
      <c r="EY227" s="5">
        <v>0.23717643154774901</v>
      </c>
      <c r="EZ227" s="5">
        <v>-0.28187303377412298</v>
      </c>
      <c r="FA227" s="5">
        <v>0.38029664255251899</v>
      </c>
      <c r="FB227" s="5">
        <v>-0.14159410206697801</v>
      </c>
      <c r="FC227" s="5">
        <v>9.5765117169341302E-2</v>
      </c>
      <c r="FD227" s="5">
        <v>-0.187419234865738</v>
      </c>
      <c r="FE227" s="5">
        <v>0.28030021225297802</v>
      </c>
      <c r="FF227" s="5">
        <v>-7.2140016720438099E-2</v>
      </c>
      <c r="FG227" s="5">
        <v>1.98718670882994E-2</v>
      </c>
      <c r="FH227" s="5">
        <v>-0.16830198783358499</v>
      </c>
      <c r="FI227" s="5">
        <v>0.23147995011743899</v>
      </c>
      <c r="FJ227" s="5">
        <v>-0.25879129335620898</v>
      </c>
      <c r="FK227" s="5">
        <v>0.23887168969161801</v>
      </c>
      <c r="FL227" s="5">
        <v>0.16260060681299901</v>
      </c>
      <c r="FM227" s="5">
        <v>-0.22931180991550701</v>
      </c>
      <c r="FN227" s="5">
        <v>-0.23797200299494001</v>
      </c>
      <c r="FO227" s="5">
        <v>0.15718296456450701</v>
      </c>
      <c r="FP227" s="5">
        <v>-0.26435280582329801</v>
      </c>
      <c r="FQ227" s="5">
        <v>0.17872621836376801</v>
      </c>
      <c r="FR227" s="5">
        <v>0.23229502492034601</v>
      </c>
      <c r="FS227" s="5">
        <v>-0.241928548734169</v>
      </c>
      <c r="FT227" s="5">
        <v>-0.29824636331472998</v>
      </c>
      <c r="FU227" s="5">
        <v>0.22547756517220599</v>
      </c>
      <c r="FV227" s="5">
        <v>-0.18998526543381</v>
      </c>
      <c r="FW227" s="5">
        <v>0.15664537500904899</v>
      </c>
      <c r="FX227" s="5">
        <v>-0.31726729597862902</v>
      </c>
      <c r="FY227" s="5">
        <v>0.39514644497947199</v>
      </c>
      <c r="FZ227" s="5">
        <v>-0.28244290515584197</v>
      </c>
      <c r="GA227" s="5">
        <v>0.21526770523613201</v>
      </c>
      <c r="GB227" s="5">
        <v>-4.54890812287332E-2</v>
      </c>
      <c r="GC227" s="5">
        <v>-6.12745880458887E-2</v>
      </c>
      <c r="GD227" s="5">
        <v>-6.9770783197681999E-2</v>
      </c>
      <c r="GE227" s="5">
        <v>7.8604802320625097E-2</v>
      </c>
      <c r="GF227" s="5">
        <v>-0.190578299027169</v>
      </c>
      <c r="GG227" s="5">
        <v>0.26967895261449099</v>
      </c>
      <c r="GH227" s="5">
        <v>0.26455347174362198</v>
      </c>
      <c r="GI227" s="5">
        <v>-0.32182176118510297</v>
      </c>
      <c r="GJ227" s="5">
        <v>-0.17963972633669401</v>
      </c>
      <c r="GK227" s="5">
        <v>0.30333664545741701</v>
      </c>
      <c r="GL227" s="5">
        <v>-0.171597429620859</v>
      </c>
      <c r="GM227" s="5">
        <v>0.16080827993631</v>
      </c>
      <c r="GN227" s="5">
        <v>-8.7068307465057906E-2</v>
      </c>
      <c r="GO227" s="5">
        <v>6.7513452614000003E-3</v>
      </c>
      <c r="GP227" s="5">
        <v>-0.29667261445219401</v>
      </c>
      <c r="GQ227" s="5">
        <v>0.25975961657185098</v>
      </c>
      <c r="GR227" s="5">
        <v>-0.176678363879367</v>
      </c>
      <c r="GS227" s="5">
        <v>0.31587359559836697</v>
      </c>
      <c r="GT227" s="5">
        <v>-0.22328770433940001</v>
      </c>
      <c r="GU227" s="5">
        <v>0.118793270515821</v>
      </c>
      <c r="GV227" s="5">
        <v>-0.25881515715008702</v>
      </c>
      <c r="GW227" s="5">
        <v>0.36002420139045199</v>
      </c>
      <c r="GX227" s="5">
        <v>-0.360519157610935</v>
      </c>
      <c r="GY227" s="5">
        <v>0.34237791056681899</v>
      </c>
      <c r="GZ227" s="5">
        <v>-3.3571767057610398E-2</v>
      </c>
      <c r="HA227" s="5">
        <v>1.9693152641471499E-2</v>
      </c>
      <c r="HB227" s="5">
        <v>-0.29456115932055299</v>
      </c>
      <c r="HC227" s="5">
        <v>0.40101119737753599</v>
      </c>
      <c r="HD227" s="5">
        <v>-0.109013754316057</v>
      </c>
      <c r="HE227" s="5">
        <v>1.6363479680717798E-2</v>
      </c>
      <c r="HF227" s="5">
        <v>-7.0151357976841397E-3</v>
      </c>
      <c r="HG227" s="5">
        <v>-1.7221715768206299E-2</v>
      </c>
      <c r="HH227" s="5">
        <v>-3.86418800939295E-2</v>
      </c>
      <c r="HI227" s="5">
        <v>-2.0797701641769601E-2</v>
      </c>
      <c r="HJ227" s="5">
        <v>-3.6995898990218198E-2</v>
      </c>
      <c r="HK227" s="5">
        <v>1.3637784789392701E-2</v>
      </c>
      <c r="HL227" s="5">
        <v>-0.20790725267510499</v>
      </c>
      <c r="HM227" s="5">
        <v>0.176671913388951</v>
      </c>
      <c r="HN227" s="5">
        <v>-1.8841605772185199E-3</v>
      </c>
      <c r="HO227" s="5">
        <v>-5.1555508689222401E-2</v>
      </c>
      <c r="HP227" s="5">
        <v>-0.152082829399938</v>
      </c>
      <c r="HQ227" s="5">
        <v>0.22449044001357901</v>
      </c>
      <c r="HR227" s="5">
        <v>-0.72981794578493397</v>
      </c>
      <c r="HS227" s="5">
        <v>1</v>
      </c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</row>
    <row r="228" spans="1:389" x14ac:dyDescent="0.45">
      <c r="A228" s="4" t="str">
        <f ca="1">"MKD / beta1dist in "&amp;CELL("address",'damages-1990'!$J$115)</f>
        <v>MKD / beta1dist in '[BHM betas v3pd.xlsx]damages-1990'!$J$115</v>
      </c>
      <c r="B228" s="6">
        <v>0.49305833046890901</v>
      </c>
      <c r="C228" s="5">
        <v>-0.19529144777448701</v>
      </c>
      <c r="D228" s="5">
        <v>0.22428248102065099</v>
      </c>
      <c r="E228" s="5">
        <v>-0.18922195788993301</v>
      </c>
      <c r="F228" s="5">
        <v>0.85081900969813196</v>
      </c>
      <c r="G228" s="5">
        <v>-0.694461927567388</v>
      </c>
      <c r="H228" s="5">
        <v>0.475779986735622</v>
      </c>
      <c r="I228" s="5">
        <v>-0.26346258763761898</v>
      </c>
      <c r="J228" s="5">
        <v>4.5392493218072399E-2</v>
      </c>
      <c r="K228" s="5">
        <v>-6.6739075568983702E-2</v>
      </c>
      <c r="L228" s="5">
        <v>0.36008896500757298</v>
      </c>
      <c r="M228" s="5">
        <v>-0.11294930752611999</v>
      </c>
      <c r="N228" s="5">
        <v>0.594223595069727</v>
      </c>
      <c r="O228" s="5">
        <v>-0.31390027376406898</v>
      </c>
      <c r="P228" s="5">
        <v>0.10136656837478</v>
      </c>
      <c r="Q228" s="5">
        <v>-9.2520882894197798E-2</v>
      </c>
      <c r="R228" s="5">
        <v>0.15885293299113901</v>
      </c>
      <c r="S228" s="5">
        <v>-0.105246936937628</v>
      </c>
      <c r="T228" s="5">
        <v>0.64947983553278699</v>
      </c>
      <c r="U228" s="5">
        <v>-0.47296597821362801</v>
      </c>
      <c r="V228" s="5">
        <v>0.58277009719193795</v>
      </c>
      <c r="W228" s="5">
        <v>-0.347073370126949</v>
      </c>
      <c r="X228" s="5">
        <v>0.24673575401880901</v>
      </c>
      <c r="Y228" s="5">
        <v>-0.17783862609011999</v>
      </c>
      <c r="Z228" s="5">
        <v>0.65035860161061598</v>
      </c>
      <c r="AA228" s="5">
        <v>-0.430687913573639</v>
      </c>
      <c r="AB228" s="5">
        <v>7.3544196928451003E-2</v>
      </c>
      <c r="AC228" s="5">
        <v>-3.97265201874226E-2</v>
      </c>
      <c r="AD228" s="5">
        <v>0.13878825952092599</v>
      </c>
      <c r="AE228" s="5">
        <v>-7.5470361242626599E-2</v>
      </c>
      <c r="AF228" s="5">
        <v>-5.7473037074525897E-2</v>
      </c>
      <c r="AG228" s="5">
        <v>6.5406349083975801E-2</v>
      </c>
      <c r="AH228" s="5">
        <v>0.88045829394869102</v>
      </c>
      <c r="AI228" s="5">
        <v>-0.71607837077218806</v>
      </c>
      <c r="AJ228" s="5">
        <v>5.8376591600969602E-3</v>
      </c>
      <c r="AK228" s="5">
        <v>-3.45840404813424E-2</v>
      </c>
      <c r="AL228" s="5">
        <v>-9.3332833456750194E-3</v>
      </c>
      <c r="AM228" s="5">
        <v>2.15723720161228E-2</v>
      </c>
      <c r="AN228" s="5">
        <v>0.84955252832151595</v>
      </c>
      <c r="AO228" s="5">
        <v>-0.66320760541755797</v>
      </c>
      <c r="AP228" s="5">
        <v>0.51323945198819998</v>
      </c>
      <c r="AQ228" s="5">
        <v>-0.29790364730309399</v>
      </c>
      <c r="AR228" s="5">
        <v>1.5308070792960499E-2</v>
      </c>
      <c r="AS228" s="5">
        <v>4.3262892108590001E-3</v>
      </c>
      <c r="AT228" s="5">
        <v>-2.6917933216395601E-2</v>
      </c>
      <c r="AU228" s="5">
        <v>6.1814091971839999E-2</v>
      </c>
      <c r="AV228" s="5">
        <v>4.7585344278755298E-2</v>
      </c>
      <c r="AW228" s="5">
        <v>-1.92398716548845E-3</v>
      </c>
      <c r="AX228" s="5">
        <v>3.4182112885639798E-2</v>
      </c>
      <c r="AY228" s="5">
        <v>-8.9588339729963801E-2</v>
      </c>
      <c r="AZ228" s="5">
        <v>8.4195790247539107E-2</v>
      </c>
      <c r="BA228" s="5">
        <v>-6.3673356012139803E-2</v>
      </c>
      <c r="BB228" s="5">
        <v>0.12201289472832801</v>
      </c>
      <c r="BC228" s="5">
        <v>-0.123749517007994</v>
      </c>
      <c r="BD228" s="5">
        <v>0.66947473283305303</v>
      </c>
      <c r="BE228" s="5">
        <v>-0.36565682942923999</v>
      </c>
      <c r="BF228" s="5">
        <v>0.141362890876606</v>
      </c>
      <c r="BG228" s="5">
        <v>-0.12015136235328799</v>
      </c>
      <c r="BH228" s="5">
        <v>0.11325814367324</v>
      </c>
      <c r="BI228" s="5">
        <v>-7.3149799074431004E-2</v>
      </c>
      <c r="BJ228" s="5">
        <v>0.37143385003211199</v>
      </c>
      <c r="BK228" s="5">
        <v>-9.1443929957317496E-2</v>
      </c>
      <c r="BL228" s="5">
        <v>0.60810791332885805</v>
      </c>
      <c r="BM228" s="5">
        <v>-0.431062662369887</v>
      </c>
      <c r="BN228" s="5">
        <v>0.478436433832853</v>
      </c>
      <c r="BO228" s="5">
        <v>-0.10382004563904999</v>
      </c>
      <c r="BP228" s="5">
        <v>0.59228870267066802</v>
      </c>
      <c r="BQ228" s="5">
        <v>-0.26884912358907298</v>
      </c>
      <c r="BR228" s="5">
        <v>0.19438494626236399</v>
      </c>
      <c r="BS228" s="5">
        <v>-0.12524464173020899</v>
      </c>
      <c r="BT228" s="5">
        <v>0.10790140408361699</v>
      </c>
      <c r="BU228" s="5">
        <v>-6.5354386745831203E-2</v>
      </c>
      <c r="BV228" s="5">
        <v>0.16636365756392399</v>
      </c>
      <c r="BW228" s="5">
        <v>-0.16053625360176399</v>
      </c>
      <c r="BX228" s="5">
        <v>0.117359950926382</v>
      </c>
      <c r="BY228" s="5">
        <v>-9.8854269620508306E-2</v>
      </c>
      <c r="BZ228" s="5">
        <v>8.3797877399052006E-2</v>
      </c>
      <c r="CA228" s="5">
        <v>-0.109740807997269</v>
      </c>
      <c r="CB228" s="5">
        <v>6.3163276687995401E-2</v>
      </c>
      <c r="CC228" s="5">
        <v>-5.4300936769040402E-2</v>
      </c>
      <c r="CD228" s="5">
        <v>0.12643484558352699</v>
      </c>
      <c r="CE228" s="5">
        <v>-8.1399725310634705E-2</v>
      </c>
      <c r="CF228" s="5">
        <v>5.3727257284045801E-2</v>
      </c>
      <c r="CG228" s="5">
        <v>-4.2161024837967603E-2</v>
      </c>
      <c r="CH228" s="5">
        <v>-1.3898391192814301E-2</v>
      </c>
      <c r="CI228" s="5">
        <v>3.3290100576157999E-2</v>
      </c>
      <c r="CJ228" s="5">
        <v>0.10070266811553601</v>
      </c>
      <c r="CK228" s="5">
        <v>-2.02960829438012E-2</v>
      </c>
      <c r="CL228" s="5">
        <v>0.69176335473330597</v>
      </c>
      <c r="CM228" s="5">
        <v>-0.50165969175056102</v>
      </c>
      <c r="CN228" s="5">
        <v>0.68255119240329598</v>
      </c>
      <c r="CO228" s="5">
        <v>-0.477837576075896</v>
      </c>
      <c r="CP228" s="5">
        <v>0.11521676239988</v>
      </c>
      <c r="CQ228" s="5">
        <v>-7.5028372560065698E-2</v>
      </c>
      <c r="CR228" s="5">
        <v>0.137095774613858</v>
      </c>
      <c r="CS228" s="5">
        <v>-8.6273347604698694E-2</v>
      </c>
      <c r="CT228" s="5">
        <v>0.51689494353416499</v>
      </c>
      <c r="CU228" s="5">
        <v>-0.32018860927043702</v>
      </c>
      <c r="CV228" s="5">
        <v>0.18395005160466199</v>
      </c>
      <c r="CW228" s="5">
        <v>-0.15330687896683901</v>
      </c>
      <c r="CX228" s="5">
        <v>2.60109450633862E-2</v>
      </c>
      <c r="CY228" s="5">
        <v>2.4135095090671198E-2</v>
      </c>
      <c r="CZ228" s="5">
        <v>0.12961400584126301</v>
      </c>
      <c r="DA228" s="5">
        <v>-0.123587274218911</v>
      </c>
      <c r="DB228" s="5">
        <v>2.8913917656943899E-2</v>
      </c>
      <c r="DC228" s="5">
        <v>1.18343700053277E-2</v>
      </c>
      <c r="DD228" s="5">
        <v>0.149081825876928</v>
      </c>
      <c r="DE228" s="5">
        <v>-9.1853295790142397E-2</v>
      </c>
      <c r="DF228" s="5">
        <v>8.2453420250480802E-2</v>
      </c>
      <c r="DG228" s="5">
        <v>-3.1499118939929599E-2</v>
      </c>
      <c r="DH228" s="5">
        <v>0.497817399703536</v>
      </c>
      <c r="DI228" s="5">
        <v>-0.26754707742956402</v>
      </c>
      <c r="DJ228" s="5">
        <v>0.41514131740141702</v>
      </c>
      <c r="DK228" s="5">
        <v>-0.21887051218072801</v>
      </c>
      <c r="DL228" s="5">
        <v>0.21861418515262901</v>
      </c>
      <c r="DM228" s="5">
        <v>-0.12942405425873199</v>
      </c>
      <c r="DN228" s="5">
        <v>0.35768046649433399</v>
      </c>
      <c r="DO228" s="5">
        <v>-0.156517524427849</v>
      </c>
      <c r="DP228" s="5">
        <v>7.0534922916001594E-2</v>
      </c>
      <c r="DQ228" s="5">
        <v>1.30948482772367E-2</v>
      </c>
      <c r="DR228" s="5">
        <v>0.67471847980965605</v>
      </c>
      <c r="DS228" s="5">
        <v>-0.45204483143284202</v>
      </c>
      <c r="DT228" s="5">
        <v>3.2275493813190698E-4</v>
      </c>
      <c r="DU228" s="5">
        <v>1.7408253556440701E-2</v>
      </c>
      <c r="DV228" s="5">
        <v>0.172853547264923</v>
      </c>
      <c r="DW228" s="5">
        <v>-0.14977189472494301</v>
      </c>
      <c r="DX228" s="5">
        <v>0.494956996617131</v>
      </c>
      <c r="DY228" s="5">
        <v>-0.236799199574282</v>
      </c>
      <c r="DZ228" s="5">
        <v>0.62760994221835698</v>
      </c>
      <c r="EA228" s="5">
        <v>-0.35083303878924499</v>
      </c>
      <c r="EB228" s="5">
        <v>0.12573830902503499</v>
      </c>
      <c r="EC228" s="5">
        <v>-8.7985935404964993E-2</v>
      </c>
      <c r="ED228" s="5">
        <v>0.15605410405047801</v>
      </c>
      <c r="EE228" s="5">
        <v>-9.41598775707954E-2</v>
      </c>
      <c r="EF228" s="5">
        <v>0.128597509508351</v>
      </c>
      <c r="EG228" s="5">
        <v>-9.4708723571609907E-2</v>
      </c>
      <c r="EH228" s="5">
        <v>0.19029571729212599</v>
      </c>
      <c r="EI228" s="5">
        <v>-0.14814980732848099</v>
      </c>
      <c r="EJ228" s="5">
        <v>0.19466570362044799</v>
      </c>
      <c r="EK228" s="5">
        <v>-0.147044583309653</v>
      </c>
      <c r="EL228" s="5">
        <v>8.7120239590854506E-2</v>
      </c>
      <c r="EM228" s="5">
        <v>-3.24856852520954E-2</v>
      </c>
      <c r="EN228" s="5">
        <v>0.49094989423629598</v>
      </c>
      <c r="EO228" s="5">
        <v>-0.31291949080153802</v>
      </c>
      <c r="EP228" s="5">
        <v>0.124267306372815</v>
      </c>
      <c r="EQ228" s="5">
        <v>-0.110890071941128</v>
      </c>
      <c r="ER228" s="5">
        <v>8.9375861038702903E-2</v>
      </c>
      <c r="ES228" s="5">
        <v>-6.8347301044097794E-2</v>
      </c>
      <c r="ET228" s="5">
        <v>3.3237734673674302E-2</v>
      </c>
      <c r="EU228" s="5">
        <v>-6.5188460285191499E-2</v>
      </c>
      <c r="EV228" s="5">
        <v>-1.3692633510401399E-2</v>
      </c>
      <c r="EW228" s="5">
        <v>-4.1942040420970599E-2</v>
      </c>
      <c r="EX228" s="5">
        <v>-2.8444514812141299E-2</v>
      </c>
      <c r="EY228" s="5">
        <v>4.2563448492584498E-2</v>
      </c>
      <c r="EZ228" s="5">
        <v>7.2904241764775002E-2</v>
      </c>
      <c r="FA228" s="5">
        <v>-4.7290127601969198E-2</v>
      </c>
      <c r="FB228" s="5">
        <v>0.84479998667367595</v>
      </c>
      <c r="FC228" s="5">
        <v>-0.68182356625185103</v>
      </c>
      <c r="FD228" s="5">
        <v>0.157966994209361</v>
      </c>
      <c r="FE228" s="5">
        <v>-0.13310678680167201</v>
      </c>
      <c r="FF228" s="5">
        <v>0.83939257310047299</v>
      </c>
      <c r="FG228" s="5">
        <v>-0.65969071000107304</v>
      </c>
      <c r="FH228" s="5">
        <v>-8.0202289415380306E-3</v>
      </c>
      <c r="FI228" s="5">
        <v>8.3551741181126099E-2</v>
      </c>
      <c r="FJ228" s="5">
        <v>0.116727412074244</v>
      </c>
      <c r="FK228" s="5">
        <v>-7.6676830711178104E-2</v>
      </c>
      <c r="FL228" s="5">
        <v>0.38799864665509798</v>
      </c>
      <c r="FM228" s="5">
        <v>-7.1252787777025706E-2</v>
      </c>
      <c r="FN228" s="5">
        <v>0.27380781653798802</v>
      </c>
      <c r="FO228" s="5">
        <v>-0.115613619011508</v>
      </c>
      <c r="FP228" s="5">
        <v>4.3434132658612998E-2</v>
      </c>
      <c r="FQ228" s="5">
        <v>1.3365065813019999E-2</v>
      </c>
      <c r="FR228" s="5">
        <v>0.12605242177164899</v>
      </c>
      <c r="FS228" s="5">
        <v>0.17559871673340599</v>
      </c>
      <c r="FT228" s="5">
        <v>0.12088899420012</v>
      </c>
      <c r="FU228" s="5">
        <v>-3.5556406916715202E-2</v>
      </c>
      <c r="FV228" s="5">
        <v>0.73739508468623405</v>
      </c>
      <c r="FW228" s="5">
        <v>-0.59820154041072304</v>
      </c>
      <c r="FX228" s="5">
        <v>9.63774388320814E-2</v>
      </c>
      <c r="FY228" s="5">
        <v>-7.0194424196773297E-2</v>
      </c>
      <c r="FZ228" s="5">
        <v>0.17868696398054901</v>
      </c>
      <c r="GA228" s="5">
        <v>-7.9343074333023206E-2</v>
      </c>
      <c r="GB228" s="5">
        <v>0.74350936435898096</v>
      </c>
      <c r="GC228" s="5">
        <v>-0.53509029837129296</v>
      </c>
      <c r="GD228" s="5">
        <v>0.46621519124439598</v>
      </c>
      <c r="GE228" s="5">
        <v>-0.21562973986359901</v>
      </c>
      <c r="GF228" s="5">
        <v>0.13609558313987</v>
      </c>
      <c r="GG228" s="5">
        <v>-0.10731660628107401</v>
      </c>
      <c r="GH228" s="5">
        <v>0.32220236737737901</v>
      </c>
      <c r="GI228" s="5">
        <v>-1.0849702280418601E-2</v>
      </c>
      <c r="GJ228" s="5">
        <v>-3.0283515283568999E-2</v>
      </c>
      <c r="GK228" s="5">
        <v>1.2356036077286799E-2</v>
      </c>
      <c r="GL228" s="5">
        <v>0.120301529591355</v>
      </c>
      <c r="GM228" s="5">
        <v>-0.10185144259079</v>
      </c>
      <c r="GN228" s="5">
        <v>0.69827473510858995</v>
      </c>
      <c r="GO228" s="5">
        <v>-0.50140523305778695</v>
      </c>
      <c r="GP228" s="5">
        <v>-2.5667893986986998E-3</v>
      </c>
      <c r="GQ228" s="5">
        <v>8.9534095160698603E-4</v>
      </c>
      <c r="GR228" s="5">
        <v>3.9144763709370103E-2</v>
      </c>
      <c r="GS228" s="5">
        <v>-6.9712962022141197E-3</v>
      </c>
      <c r="GT228" s="5">
        <v>0.38564169441652402</v>
      </c>
      <c r="GU228" s="5">
        <v>-0.173264244760648</v>
      </c>
      <c r="GV228" s="5">
        <v>0.20841086846641799</v>
      </c>
      <c r="GW228" s="5">
        <v>-0.16055512739320199</v>
      </c>
      <c r="GX228" s="5">
        <v>1.0314357894549099E-2</v>
      </c>
      <c r="GY228" s="5">
        <v>3.7309059508589197E-2</v>
      </c>
      <c r="GZ228" s="5">
        <v>0.60929000420823098</v>
      </c>
      <c r="HA228" s="5">
        <v>-0.44036090751850299</v>
      </c>
      <c r="HB228" s="5">
        <v>0.1243388767258</v>
      </c>
      <c r="HC228" s="5">
        <v>-0.138758694954488</v>
      </c>
      <c r="HD228" s="5">
        <v>0.416908722056751</v>
      </c>
      <c r="HE228" s="5">
        <v>3.2582437472519002E-2</v>
      </c>
      <c r="HF228" s="5">
        <v>0.49272633786984299</v>
      </c>
      <c r="HG228" s="5">
        <v>-0.287793013821112</v>
      </c>
      <c r="HH228" s="5">
        <v>0.670388016617956</v>
      </c>
      <c r="HI228" s="5">
        <v>-0.46111141855354099</v>
      </c>
      <c r="HJ228" s="5">
        <v>0.45049537256842398</v>
      </c>
      <c r="HK228" s="5">
        <v>-0.25524272895919298</v>
      </c>
      <c r="HL228" s="5">
        <v>0.231099356520824</v>
      </c>
      <c r="HM228" s="5">
        <v>-7.5049019350740001E-2</v>
      </c>
      <c r="HN228" s="5">
        <v>0.76617124405133696</v>
      </c>
      <c r="HO228" s="5">
        <v>-0.55887636223955095</v>
      </c>
      <c r="HP228" s="5">
        <v>0.121840427048909</v>
      </c>
      <c r="HQ228" s="5">
        <v>-6.4112804653297106E-2</v>
      </c>
      <c r="HR228" s="5">
        <v>0.126176905527698</v>
      </c>
      <c r="HS228" s="5">
        <v>-6.9918280970626703E-2</v>
      </c>
      <c r="HT228" s="5">
        <v>1</v>
      </c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</row>
    <row r="229" spans="1:389" x14ac:dyDescent="0.45">
      <c r="A229" s="4" t="str">
        <f ca="1">"MKD / beta2dist in "&amp;CELL("address",'damages-1990'!$K$115)</f>
        <v>MKD / beta2dist in '[BHM betas v3pd.xlsx]damages-1990'!$K$115</v>
      </c>
      <c r="B229" s="6">
        <v>-0.113982903609873</v>
      </c>
      <c r="C229" s="5">
        <v>0.163465349978625</v>
      </c>
      <c r="D229" s="5">
        <v>-2.7212848158317499E-2</v>
      </c>
      <c r="E229" s="5">
        <v>0.22324946234432999</v>
      </c>
      <c r="F229" s="5">
        <v>-0.60821974731568296</v>
      </c>
      <c r="G229" s="5">
        <v>0.80625400868115704</v>
      </c>
      <c r="H229" s="5">
        <v>-0.42551361888179901</v>
      </c>
      <c r="I229" s="5">
        <v>0.33567201760883703</v>
      </c>
      <c r="J229" s="5">
        <v>0.132779332204428</v>
      </c>
      <c r="K229" s="5">
        <v>0.10925122870734</v>
      </c>
      <c r="L229" s="5">
        <v>-1.4161440879441E-2</v>
      </c>
      <c r="M229" s="5">
        <v>8.3244335794190799E-2</v>
      </c>
      <c r="N229" s="5">
        <v>-0.41384845833509198</v>
      </c>
      <c r="O229" s="5">
        <v>0.33925227366143701</v>
      </c>
      <c r="P229" s="5">
        <v>-4.17994249238351E-2</v>
      </c>
      <c r="Q229" s="5">
        <v>0.14998613185067999</v>
      </c>
      <c r="R229" s="5">
        <v>8.2436450819709003E-2</v>
      </c>
      <c r="S229" s="5">
        <v>0.10664099290889199</v>
      </c>
      <c r="T229" s="5">
        <v>-0.60213378610593005</v>
      </c>
      <c r="U229" s="5">
        <v>0.59106060635757596</v>
      </c>
      <c r="V229" s="5">
        <v>-0.21802424062492601</v>
      </c>
      <c r="W229" s="5">
        <v>0.32836022049462399</v>
      </c>
      <c r="X229" s="5">
        <v>-4.9476381112078298E-2</v>
      </c>
      <c r="Y229" s="5">
        <v>0.23142572942366901</v>
      </c>
      <c r="Z229" s="5">
        <v>-0.45541244345354798</v>
      </c>
      <c r="AA229" s="5">
        <v>0.48064364604239401</v>
      </c>
      <c r="AB229" s="5">
        <v>3.9491963875373799E-2</v>
      </c>
      <c r="AC229" s="5">
        <v>5.9326242524417101E-2</v>
      </c>
      <c r="AD229" s="5">
        <v>-3.9715532429932601E-2</v>
      </c>
      <c r="AE229" s="5">
        <v>0.119842734161746</v>
      </c>
      <c r="AF229" s="5">
        <v>0.29435728567975</v>
      </c>
      <c r="AG229" s="5">
        <v>-0.13356878122501101</v>
      </c>
      <c r="AH229" s="5">
        <v>-0.67861324558058</v>
      </c>
      <c r="AI229" s="5">
        <v>0.84939541282283704</v>
      </c>
      <c r="AJ229" s="5">
        <v>0.164123666154355</v>
      </c>
      <c r="AK229" s="5">
        <v>7.3110384810910797E-2</v>
      </c>
      <c r="AL229" s="5">
        <v>0.15642895306773899</v>
      </c>
      <c r="AM229" s="5">
        <v>-4.7448561409274302E-2</v>
      </c>
      <c r="AN229" s="5">
        <v>-0.698723315054393</v>
      </c>
      <c r="AO229" s="5">
        <v>0.79477898556552296</v>
      </c>
      <c r="AP229" s="5">
        <v>-0.42616900713470102</v>
      </c>
      <c r="AQ229" s="5">
        <v>0.36213059837498102</v>
      </c>
      <c r="AR229" s="5">
        <v>0.16364059969729799</v>
      </c>
      <c r="AS229" s="5">
        <v>-2.0971326407469099E-2</v>
      </c>
      <c r="AT229" s="5">
        <v>0.19326453364313001</v>
      </c>
      <c r="AU229" s="5">
        <v>-0.11990170766716</v>
      </c>
      <c r="AV229" s="5">
        <v>0.22697568576982899</v>
      </c>
      <c r="AW229" s="5">
        <v>-4.7312664657666398E-2</v>
      </c>
      <c r="AX229" s="5">
        <v>0.17961002814906199</v>
      </c>
      <c r="AY229" s="5">
        <v>9.0933400043188298E-2</v>
      </c>
      <c r="AZ229" s="5">
        <v>-2.5396602225468698E-3</v>
      </c>
      <c r="BA229" s="5">
        <v>9.3886822466633393E-2</v>
      </c>
      <c r="BB229" s="5">
        <v>2.5075955469254001E-2</v>
      </c>
      <c r="BC229" s="5">
        <v>0.18622705160598799</v>
      </c>
      <c r="BD229" s="5">
        <v>-0.35786013077449502</v>
      </c>
      <c r="BE229" s="5">
        <v>0.41408303613785602</v>
      </c>
      <c r="BF229" s="5">
        <v>6.3340207053464697E-3</v>
      </c>
      <c r="BG229" s="5">
        <v>0.15989741388053799</v>
      </c>
      <c r="BH229" s="5">
        <v>6.4475640184870106E-2</v>
      </c>
      <c r="BI229" s="5">
        <v>9.23243776230879E-2</v>
      </c>
      <c r="BJ229" s="5">
        <v>-0.390154773285663</v>
      </c>
      <c r="BK229" s="5">
        <v>0.14462117093142901</v>
      </c>
      <c r="BL229" s="5">
        <v>-0.56833114973610599</v>
      </c>
      <c r="BM229" s="5">
        <v>0.53963584851345203</v>
      </c>
      <c r="BN229" s="5">
        <v>-0.23174393861866199</v>
      </c>
      <c r="BO229" s="5">
        <v>9.6031581439267794E-2</v>
      </c>
      <c r="BP229" s="5">
        <v>-0.37198732655863698</v>
      </c>
      <c r="BQ229" s="5">
        <v>0.26630040561576201</v>
      </c>
      <c r="BR229" s="5">
        <v>-0.13162249240861301</v>
      </c>
      <c r="BS229" s="5">
        <v>0.20517566313291599</v>
      </c>
      <c r="BT229" s="5">
        <v>8.1422322979025394E-2</v>
      </c>
      <c r="BU229" s="5">
        <v>8.8526620778154499E-2</v>
      </c>
      <c r="BV229" s="5">
        <v>-1.05829831484648E-2</v>
      </c>
      <c r="BW229" s="5">
        <v>0.21917535565514801</v>
      </c>
      <c r="BX229" s="5">
        <v>1.63361142827264E-2</v>
      </c>
      <c r="BY229" s="5">
        <v>0.14388149654297799</v>
      </c>
      <c r="BZ229" s="5">
        <v>7.0582359736752504E-2</v>
      </c>
      <c r="CA229" s="5">
        <v>0.13927778299379201</v>
      </c>
      <c r="CB229" s="5">
        <v>5.4961219745683701E-2</v>
      </c>
      <c r="CC229" s="5">
        <v>8.5113895758435906E-2</v>
      </c>
      <c r="CD229" s="5">
        <v>3.06375511481645E-2</v>
      </c>
      <c r="CE229" s="5">
        <v>5.4045838534832497E-2</v>
      </c>
      <c r="CF229" s="5">
        <v>9.8435873045175995E-2</v>
      </c>
      <c r="CG229" s="5">
        <v>1.6810670002677799E-2</v>
      </c>
      <c r="CH229" s="5">
        <v>0.14704960459993099</v>
      </c>
      <c r="CI229" s="5">
        <v>-6.2111904309630699E-2</v>
      </c>
      <c r="CJ229" s="5">
        <v>0.12810965141164399</v>
      </c>
      <c r="CK229" s="5">
        <v>1.2926252325148499E-2</v>
      </c>
      <c r="CL229" s="5">
        <v>-0.59514278661901998</v>
      </c>
      <c r="CM229" s="5">
        <v>0.60819850253099805</v>
      </c>
      <c r="CN229" s="5">
        <v>-0.53421053224681103</v>
      </c>
      <c r="CO229" s="5">
        <v>0.55579142632605105</v>
      </c>
      <c r="CP229" s="5">
        <v>-4.1925705108280503E-2</v>
      </c>
      <c r="CQ229" s="5">
        <v>0.113617729432133</v>
      </c>
      <c r="CR229" s="5">
        <v>-5.1293699049775501E-2</v>
      </c>
      <c r="CS229" s="5">
        <v>0.14044565852483301</v>
      </c>
      <c r="CT229" s="5">
        <v>-0.42144529414320397</v>
      </c>
      <c r="CU229" s="5">
        <v>0.38010880570274702</v>
      </c>
      <c r="CV229" s="5">
        <v>-0.13829789825678199</v>
      </c>
      <c r="CW229" s="5">
        <v>0.24715759824824801</v>
      </c>
      <c r="CX229" s="5">
        <v>0.208581589442248</v>
      </c>
      <c r="CY229" s="5">
        <v>-4.1773407460826903E-2</v>
      </c>
      <c r="CZ229" s="5">
        <v>3.3874127412701197E-2</v>
      </c>
      <c r="DA229" s="5">
        <v>0.153228305276114</v>
      </c>
      <c r="DB229" s="5">
        <v>0.225514513630903</v>
      </c>
      <c r="DC229" s="5">
        <v>-2.41551976904982E-2</v>
      </c>
      <c r="DD229" s="5">
        <v>-5.1175108360719097E-2</v>
      </c>
      <c r="DE229" s="5">
        <v>0.14565659181839</v>
      </c>
      <c r="DF229" s="5">
        <v>0.15811289024828501</v>
      </c>
      <c r="DG229" s="5">
        <v>-2.8681207440832499E-2</v>
      </c>
      <c r="DH229" s="5">
        <v>-0.12604025338140201</v>
      </c>
      <c r="DI229" s="5">
        <v>0.22535187273759899</v>
      </c>
      <c r="DJ229" s="5">
        <v>-0.35182509217277902</v>
      </c>
      <c r="DK229" s="5">
        <v>0.278473802510319</v>
      </c>
      <c r="DL229" s="5">
        <v>-5.6737899769917499E-2</v>
      </c>
      <c r="DM229" s="5">
        <v>0.182891081813287</v>
      </c>
      <c r="DN229" s="5">
        <v>-0.32751840479798999</v>
      </c>
      <c r="DO229" s="5">
        <v>0.215322774525328</v>
      </c>
      <c r="DP229" s="5">
        <v>0.11240528294921399</v>
      </c>
      <c r="DQ229" s="5">
        <v>-1.8985969723229201E-2</v>
      </c>
      <c r="DR229" s="5">
        <v>-0.39609227186919599</v>
      </c>
      <c r="DS229" s="5">
        <v>0.47338979716408602</v>
      </c>
      <c r="DT229" s="5">
        <v>8.1679321390120796E-2</v>
      </c>
      <c r="DU229" s="5">
        <v>-5.87410871771384E-3</v>
      </c>
      <c r="DV229" s="5">
        <v>-0.109325499255081</v>
      </c>
      <c r="DW229" s="5">
        <v>0.23193184058007801</v>
      </c>
      <c r="DX229" s="5">
        <v>-0.33000964616197198</v>
      </c>
      <c r="DY229" s="5">
        <v>0.24548223268866801</v>
      </c>
      <c r="DZ229" s="5">
        <v>-0.42534839123248103</v>
      </c>
      <c r="EA229" s="5">
        <v>0.377428651242044</v>
      </c>
      <c r="EB229" s="5">
        <v>-1.8056527469343199E-2</v>
      </c>
      <c r="EC229" s="5">
        <v>0.13530542973419901</v>
      </c>
      <c r="ED229" s="5">
        <v>-2.15125201580477E-2</v>
      </c>
      <c r="EE229" s="5">
        <v>0.140191036561754</v>
      </c>
      <c r="EF229" s="5">
        <v>-6.4990122310784396E-2</v>
      </c>
      <c r="EG229" s="5">
        <v>0.15591927144133599</v>
      </c>
      <c r="EH229" s="5">
        <v>-3.05640912877417E-2</v>
      </c>
      <c r="EI229" s="5">
        <v>0.176824636531735</v>
      </c>
      <c r="EJ229" s="5">
        <v>-4.3979053470245999E-2</v>
      </c>
      <c r="EK229" s="5">
        <v>0.18952080787491701</v>
      </c>
      <c r="EL229" s="5">
        <v>0.11093883551976599</v>
      </c>
      <c r="EM229" s="5">
        <v>7.4957437685883796E-3</v>
      </c>
      <c r="EN229" s="5">
        <v>-0.22542291053282201</v>
      </c>
      <c r="EO229" s="5">
        <v>0.35168494332289602</v>
      </c>
      <c r="EP229" s="5">
        <v>-6.55897938817364E-2</v>
      </c>
      <c r="EQ229" s="5">
        <v>0.17368502478292999</v>
      </c>
      <c r="ER229" s="5">
        <v>0.115603095574548</v>
      </c>
      <c r="ES229" s="5">
        <v>7.0135958068302195E-2</v>
      </c>
      <c r="ET229" s="5">
        <v>0.16972203722645601</v>
      </c>
      <c r="EU229" s="5">
        <v>2.9162313260388099E-2</v>
      </c>
      <c r="EV229" s="5">
        <v>0.21747597410936201</v>
      </c>
      <c r="EW229" s="5">
        <v>1.2660560661769E-2</v>
      </c>
      <c r="EX229" s="5">
        <v>0.29738862688735801</v>
      </c>
      <c r="EY229" s="5">
        <v>-0.14495275199245999</v>
      </c>
      <c r="EZ229" s="5">
        <v>0.113701893169967</v>
      </c>
      <c r="FA229" s="5">
        <v>6.0096032353364102E-2</v>
      </c>
      <c r="FB229" s="5">
        <v>-0.61746321860366804</v>
      </c>
      <c r="FC229" s="5">
        <v>0.78060080679670596</v>
      </c>
      <c r="FD229" s="5">
        <v>-7.3351408030478002E-2</v>
      </c>
      <c r="FE229" s="5">
        <v>0.198144156052878</v>
      </c>
      <c r="FF229" s="5">
        <v>-0.64659847524244696</v>
      </c>
      <c r="FG229" s="5">
        <v>0.76980953182739098</v>
      </c>
      <c r="FH229" s="5">
        <v>0.22934300822690301</v>
      </c>
      <c r="FI229" s="5">
        <v>-0.162563368757694</v>
      </c>
      <c r="FJ229" s="5">
        <v>0.124909119654916</v>
      </c>
      <c r="FK229" s="5">
        <v>6.94254136147055E-2</v>
      </c>
      <c r="FL229" s="5">
        <v>-0.16922112176410101</v>
      </c>
      <c r="FM229" s="5">
        <v>3.69872289849527E-2</v>
      </c>
      <c r="FN229" s="5">
        <v>2.6556998799815899E-2</v>
      </c>
      <c r="FO229" s="5">
        <v>0.12229248492309901</v>
      </c>
      <c r="FP229" s="5">
        <v>0.18848123124066901</v>
      </c>
      <c r="FQ229" s="5">
        <v>-1.2143782806907E-2</v>
      </c>
      <c r="FR229" s="5">
        <v>-4.9871641041697001E-2</v>
      </c>
      <c r="FS229" s="5">
        <v>-0.20620768407929299</v>
      </c>
      <c r="FT229" s="5">
        <v>0.160057836554716</v>
      </c>
      <c r="FU229" s="5">
        <v>2.2763105208889699E-2</v>
      </c>
      <c r="FV229" s="5">
        <v>-0.415023185284008</v>
      </c>
      <c r="FW229" s="5">
        <v>0.60447631932802703</v>
      </c>
      <c r="FX229" s="5">
        <v>3.6934544264281201E-2</v>
      </c>
      <c r="FY229" s="5">
        <v>8.7481764381018998E-2</v>
      </c>
      <c r="FZ229" s="5">
        <v>0.116113189018151</v>
      </c>
      <c r="GA229" s="5">
        <v>7.3405293544912403E-2</v>
      </c>
      <c r="GB229" s="5">
        <v>-0.44132765665776402</v>
      </c>
      <c r="GC229" s="5">
        <v>0.56094758471889306</v>
      </c>
      <c r="GD229" s="5">
        <v>-0.35898965754803103</v>
      </c>
      <c r="GE229" s="5">
        <v>0.26979449016026702</v>
      </c>
      <c r="GF229" s="5">
        <v>7.1241647132837302E-2</v>
      </c>
      <c r="GG229" s="5">
        <v>0.113777150228454</v>
      </c>
      <c r="GH229" s="5">
        <v>-0.225901999210641</v>
      </c>
      <c r="GI229" s="5">
        <v>3.5790288332932099E-4</v>
      </c>
      <c r="GJ229" s="5">
        <v>0.22800787807731199</v>
      </c>
      <c r="GK229" s="5">
        <v>-5.9844957904227503E-2</v>
      </c>
      <c r="GL229" s="5">
        <v>-7.9453551275704207E-2</v>
      </c>
      <c r="GM229" s="5">
        <v>0.17994127726880599</v>
      </c>
      <c r="GN229" s="5">
        <v>-0.36246957643265798</v>
      </c>
      <c r="GO229" s="5">
        <v>0.49002789217816101</v>
      </c>
      <c r="GP229" s="5">
        <v>0.20625914964400399</v>
      </c>
      <c r="GQ229" s="5">
        <v>5.3736734416985898E-3</v>
      </c>
      <c r="GR229" s="5">
        <v>0.19296292792009001</v>
      </c>
      <c r="GS229" s="5">
        <v>-5.1716833495452599E-2</v>
      </c>
      <c r="GT229" s="5">
        <v>-6.4412307083849901E-2</v>
      </c>
      <c r="GU229" s="5">
        <v>0.17154777965249199</v>
      </c>
      <c r="GV229" s="5">
        <v>-0.14088940835529701</v>
      </c>
      <c r="GW229" s="5">
        <v>0.24096582680869599</v>
      </c>
      <c r="GX229" s="5">
        <v>0.21126922934159101</v>
      </c>
      <c r="GY229" s="5">
        <v>-5.7056374782435602E-2</v>
      </c>
      <c r="GZ229" s="5">
        <v>-0.57495714019935595</v>
      </c>
      <c r="HA229" s="5">
        <v>0.55082180001404601</v>
      </c>
      <c r="HB229" s="5">
        <v>3.1617627370085902E-2</v>
      </c>
      <c r="HC229" s="5">
        <v>0.159623349009751</v>
      </c>
      <c r="HD229" s="5">
        <v>-1.02874368816463E-2</v>
      </c>
      <c r="HE229" s="5">
        <v>-0.106512633442228</v>
      </c>
      <c r="HF229" s="5">
        <v>-0.41080365353332698</v>
      </c>
      <c r="HG229" s="5">
        <v>0.35032657928253003</v>
      </c>
      <c r="HH229" s="5">
        <v>-0.494310007197167</v>
      </c>
      <c r="HI229" s="5">
        <v>0.52082489615544802</v>
      </c>
      <c r="HJ229" s="5">
        <v>-0.38529698632084203</v>
      </c>
      <c r="HK229" s="5">
        <v>0.31925092049500098</v>
      </c>
      <c r="HL229" s="5">
        <v>0.10966355285061</v>
      </c>
      <c r="HM229" s="5">
        <v>6.9188642558734503E-3</v>
      </c>
      <c r="HN229" s="5">
        <v>-0.55347251665993902</v>
      </c>
      <c r="HO229" s="5">
        <v>0.63136566065658395</v>
      </c>
      <c r="HP229" s="5">
        <v>9.3018596681433599E-2</v>
      </c>
      <c r="HQ229" s="5">
        <v>9.9196497542647602E-2</v>
      </c>
      <c r="HR229" s="5">
        <v>0.16538800209769999</v>
      </c>
      <c r="HS229" s="5">
        <v>2.36983011565138E-2</v>
      </c>
      <c r="HT229" s="5">
        <v>-0.83192725611000895</v>
      </c>
      <c r="HU229" s="5">
        <v>1</v>
      </c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</row>
    <row r="230" spans="1:389" x14ac:dyDescent="0.45">
      <c r="A230" s="4" t="str">
        <f ca="1">"MLI / beta1dist in "&amp;CELL("address",'damages-1990'!$J$116)</f>
        <v>MLI / beta1dist in '[BHM betas v3pd.xlsx]damages-1990'!$J$116</v>
      </c>
      <c r="B230" s="6">
        <v>0.31546856146422497</v>
      </c>
      <c r="C230" s="5">
        <v>-6.6117585748791605E-2</v>
      </c>
      <c r="D230" s="5">
        <v>0.459802497709764</v>
      </c>
      <c r="E230" s="5">
        <v>-0.14336838498629401</v>
      </c>
      <c r="F230" s="5">
        <v>0.119505034530049</v>
      </c>
      <c r="G230" s="5">
        <v>7.67913320555762E-2</v>
      </c>
      <c r="H230" s="5">
        <v>-4.3961485228011096E-3</v>
      </c>
      <c r="I230" s="5">
        <v>-3.3198943965688503E-2</v>
      </c>
      <c r="J230" s="5">
        <v>0.55179557664197598</v>
      </c>
      <c r="K230" s="5">
        <v>-0.29871155056186599</v>
      </c>
      <c r="L230" s="5">
        <v>0.428657982133474</v>
      </c>
      <c r="M230" s="5">
        <v>-0.14623812183639601</v>
      </c>
      <c r="N230" s="5">
        <v>-0.25886208656208398</v>
      </c>
      <c r="O230" s="5">
        <v>0.328769400349186</v>
      </c>
      <c r="P230" s="5">
        <v>0.28141276836516099</v>
      </c>
      <c r="Q230" s="5">
        <v>-0.140228595606637</v>
      </c>
      <c r="R230" s="5">
        <v>0.52482871652513896</v>
      </c>
      <c r="S230" s="5">
        <v>-0.25827516562734298</v>
      </c>
      <c r="T230" s="5">
        <v>2.3376358286975998E-2</v>
      </c>
      <c r="U230" s="5">
        <v>-2.8198623439212599E-2</v>
      </c>
      <c r="V230" s="5">
        <v>0.182571177676907</v>
      </c>
      <c r="W230" s="5">
        <v>0.15557687445406901</v>
      </c>
      <c r="X230" s="5">
        <v>0.37796957647909801</v>
      </c>
      <c r="Y230" s="5">
        <v>-6.2778157930077502E-2</v>
      </c>
      <c r="Z230" s="5">
        <v>0.104190082293661</v>
      </c>
      <c r="AA230" s="5">
        <v>-5.6593490705644102E-2</v>
      </c>
      <c r="AB230" s="5">
        <v>0.66913531760029399</v>
      </c>
      <c r="AC230" s="5">
        <v>-0.470080139607784</v>
      </c>
      <c r="AD230" s="5">
        <v>0.76403438863572204</v>
      </c>
      <c r="AE230" s="5">
        <v>-0.50099740318937502</v>
      </c>
      <c r="AF230" s="5">
        <v>0.38411660424350902</v>
      </c>
      <c r="AG230" s="5">
        <v>-0.196003260621155</v>
      </c>
      <c r="AH230" s="5">
        <v>8.3826250736169797E-2</v>
      </c>
      <c r="AI230" s="5">
        <v>7.6013287639490099E-2</v>
      </c>
      <c r="AJ230" s="5">
        <v>0.54356656858801</v>
      </c>
      <c r="AK230" s="5">
        <v>-0.32921962628748902</v>
      </c>
      <c r="AL230" s="5">
        <v>7.8287690845167998E-2</v>
      </c>
      <c r="AM230" s="5">
        <v>0.10764705050208299</v>
      </c>
      <c r="AN230" s="5">
        <v>-2.0768993247039999E-3</v>
      </c>
      <c r="AO230" s="5">
        <v>9.6798153457687594E-2</v>
      </c>
      <c r="AP230" s="5">
        <v>6.5691082700911396E-2</v>
      </c>
      <c r="AQ230" s="5">
        <v>-7.0313106525277294E-2</v>
      </c>
      <c r="AR230" s="5">
        <v>0.36626557769465201</v>
      </c>
      <c r="AS230" s="5">
        <v>-0.15561945980686101</v>
      </c>
      <c r="AT230" s="5">
        <v>8.7557166718396404E-2</v>
      </c>
      <c r="AU230" s="5">
        <v>5.4579280515504897E-2</v>
      </c>
      <c r="AV230" s="5">
        <v>0.55193978421535705</v>
      </c>
      <c r="AW230" s="5">
        <v>-0.37793384466990898</v>
      </c>
      <c r="AX230" s="5">
        <v>0.51799273135041202</v>
      </c>
      <c r="AY230" s="5">
        <v>-0.29624040404291402</v>
      </c>
      <c r="AZ230" s="5">
        <v>0.39044685073493901</v>
      </c>
      <c r="BA230" s="5">
        <v>-0.26775917426588403</v>
      </c>
      <c r="BB230" s="5">
        <v>0.48633100318295402</v>
      </c>
      <c r="BC230" s="5">
        <v>-0.19731623462940501</v>
      </c>
      <c r="BD230" s="5">
        <v>0.15325719791624301</v>
      </c>
      <c r="BE230" s="5">
        <v>9.37457399764655E-2</v>
      </c>
      <c r="BF230" s="5">
        <v>0.45099560017546803</v>
      </c>
      <c r="BG230" s="5">
        <v>-0.23191815423732601</v>
      </c>
      <c r="BH230" s="5">
        <v>0.61214462588207497</v>
      </c>
      <c r="BI230" s="5">
        <v>-0.34941293272901602</v>
      </c>
      <c r="BJ230" s="5">
        <v>-0.265978626394826</v>
      </c>
      <c r="BK230" s="5">
        <v>0.23240645968958801</v>
      </c>
      <c r="BL230" s="5">
        <v>4.3642856879795799E-2</v>
      </c>
      <c r="BM230" s="5">
        <v>-6.0122874384722101E-2</v>
      </c>
      <c r="BN230" s="5">
        <v>-9.5456222857334197E-2</v>
      </c>
      <c r="BO230" s="5">
        <v>0.16292503493410801</v>
      </c>
      <c r="BP230" s="5">
        <v>-0.122765283362165</v>
      </c>
      <c r="BQ230" s="5">
        <v>0.217810799323227</v>
      </c>
      <c r="BR230" s="5">
        <v>0.654554369492375</v>
      </c>
      <c r="BS230" s="5">
        <v>-0.394485389148995</v>
      </c>
      <c r="BT230" s="5">
        <v>0.70126425316030805</v>
      </c>
      <c r="BU230" s="5">
        <v>-0.47883797998940297</v>
      </c>
      <c r="BV230" s="5">
        <v>0.51393777703398302</v>
      </c>
      <c r="BW230" s="5">
        <v>-0.21641323369674401</v>
      </c>
      <c r="BX230" s="5">
        <v>0.52499800841420996</v>
      </c>
      <c r="BY230" s="5">
        <v>-0.282865613064963</v>
      </c>
      <c r="BZ230" s="5">
        <v>0.48665184643452303</v>
      </c>
      <c r="CA230" s="5">
        <v>-0.23217452149440501</v>
      </c>
      <c r="CB230" s="5">
        <v>0.25872376365315197</v>
      </c>
      <c r="CC230" s="5">
        <v>-0.14341827663259701</v>
      </c>
      <c r="CD230" s="5">
        <v>0.171476546244128</v>
      </c>
      <c r="CE230" s="5">
        <v>-4.0949645479767503E-2</v>
      </c>
      <c r="CF230" s="5">
        <v>0.366077479080398</v>
      </c>
      <c r="CG230" s="5">
        <v>-0.216258264534231</v>
      </c>
      <c r="CH230" s="5">
        <v>0.10774255702303</v>
      </c>
      <c r="CI230" s="5">
        <v>3.61265603078934E-2</v>
      </c>
      <c r="CJ230" s="5">
        <v>0.22732654867420801</v>
      </c>
      <c r="CK230" s="5">
        <v>-7.22911576361146E-2</v>
      </c>
      <c r="CL230" s="5">
        <v>3.7605677491007301E-2</v>
      </c>
      <c r="CM230" s="5">
        <v>-1.1551252790179699E-2</v>
      </c>
      <c r="CN230" s="5">
        <v>6.0787626404838299E-2</v>
      </c>
      <c r="CO230" s="5">
        <v>-2.2341667743285401E-2</v>
      </c>
      <c r="CP230" s="5">
        <v>0.36929519668010002</v>
      </c>
      <c r="CQ230" s="5">
        <v>-0.14944127102781099</v>
      </c>
      <c r="CR230" s="5">
        <v>0.27763485230419499</v>
      </c>
      <c r="CS230" s="5">
        <v>-0.12692894778519501</v>
      </c>
      <c r="CT230" s="5">
        <v>9.44843861832039E-2</v>
      </c>
      <c r="CU230" s="5">
        <v>-0.103457052536279</v>
      </c>
      <c r="CV230" s="5">
        <v>0.47296052227360602</v>
      </c>
      <c r="CW230" s="5">
        <v>-0.27422889471393203</v>
      </c>
      <c r="CX230" s="5">
        <v>0.76429077600317596</v>
      </c>
      <c r="CY230" s="5">
        <v>-0.55766219194356603</v>
      </c>
      <c r="CZ230" s="5">
        <v>0.39668308287378901</v>
      </c>
      <c r="DA230" s="5">
        <v>-0.17255699460585</v>
      </c>
      <c r="DB230" s="5">
        <v>0.50654389030112901</v>
      </c>
      <c r="DC230" s="5">
        <v>-0.26896582873727298</v>
      </c>
      <c r="DD230" s="5">
        <v>0.54481375006288202</v>
      </c>
      <c r="DE230" s="5">
        <v>-0.27781627658922498</v>
      </c>
      <c r="DF230" s="5">
        <v>0.36316841257965898</v>
      </c>
      <c r="DG230" s="5">
        <v>-0.131912352008838</v>
      </c>
      <c r="DH230" s="5">
        <v>0.147669453456615</v>
      </c>
      <c r="DI230" s="5">
        <v>9.9809799296864496E-2</v>
      </c>
      <c r="DJ230" s="5">
        <v>5.4156718353359203E-2</v>
      </c>
      <c r="DK230" s="5">
        <v>-9.24830719429552E-2</v>
      </c>
      <c r="DL230" s="5">
        <v>0.31690768981383199</v>
      </c>
      <c r="DM230" s="5">
        <v>-3.70472940570565E-2</v>
      </c>
      <c r="DN230" s="5">
        <v>-2.8784088689986199E-3</v>
      </c>
      <c r="DO230" s="5">
        <v>-9.1059848643297997E-2</v>
      </c>
      <c r="DP230" s="5">
        <v>0.42425645638459403</v>
      </c>
      <c r="DQ230" s="5">
        <v>-0.19034390811961799</v>
      </c>
      <c r="DR230" s="5">
        <v>0.12735165159850501</v>
      </c>
      <c r="DS230" s="5">
        <v>-2.3590847781438599E-2</v>
      </c>
      <c r="DT230" s="5">
        <v>0.26095432035585903</v>
      </c>
      <c r="DU230" s="5">
        <v>-9.3255003712602397E-2</v>
      </c>
      <c r="DV230" s="5">
        <v>0.457611960350849</v>
      </c>
      <c r="DW230" s="5">
        <v>-0.24921630199636299</v>
      </c>
      <c r="DX230" s="5">
        <v>0.15516107828465001</v>
      </c>
      <c r="DY230" s="5">
        <v>-0.18439997685112999</v>
      </c>
      <c r="DZ230" s="5">
        <v>-0.133785135566616</v>
      </c>
      <c r="EA230" s="5">
        <v>0.19985931546132299</v>
      </c>
      <c r="EB230" s="5">
        <v>0.70922743853427905</v>
      </c>
      <c r="EC230" s="5">
        <v>-0.43911203606744897</v>
      </c>
      <c r="ED230" s="5">
        <v>0.68543432818906502</v>
      </c>
      <c r="EE230" s="5">
        <v>-0.39999701629586099</v>
      </c>
      <c r="EF230" s="5">
        <v>0.270128709288947</v>
      </c>
      <c r="EG230" s="5">
        <v>-0.12863062669141001</v>
      </c>
      <c r="EH230" s="5">
        <v>0.508781838504613</v>
      </c>
      <c r="EI230" s="5">
        <v>-0.25597777331238802</v>
      </c>
      <c r="EJ230" s="5">
        <v>0.57373787342844196</v>
      </c>
      <c r="EK230" s="5">
        <v>-0.30866268830733901</v>
      </c>
      <c r="EL230" s="5">
        <v>0.57322647892943901</v>
      </c>
      <c r="EM230" s="5">
        <v>-0.36414434958163799</v>
      </c>
      <c r="EN230" s="5">
        <v>0.26467522559947998</v>
      </c>
      <c r="EO230" s="5">
        <v>-7.1354345131409702E-2</v>
      </c>
      <c r="EP230" s="5">
        <v>0.43195823306152997</v>
      </c>
      <c r="EQ230" s="5">
        <v>-0.28924375420978099</v>
      </c>
      <c r="ER230" s="5">
        <v>0.41704328144983599</v>
      </c>
      <c r="ES230" s="5">
        <v>-0.158138781480089</v>
      </c>
      <c r="ET230" s="5">
        <v>0.29823581228060803</v>
      </c>
      <c r="EU230" s="5">
        <v>-0.12705204260122199</v>
      </c>
      <c r="EV230" s="5">
        <v>0.42657309904364499</v>
      </c>
      <c r="EW230" s="5">
        <v>-0.29076861961331102</v>
      </c>
      <c r="EX230" s="5">
        <v>0.152097956491342</v>
      </c>
      <c r="EY230" s="5">
        <v>-2.5508099455328299E-2</v>
      </c>
      <c r="EZ230" s="5">
        <v>0.432170367502269</v>
      </c>
      <c r="FA230" s="5">
        <v>-0.20447089410988001</v>
      </c>
      <c r="FB230" s="5">
        <v>7.4455738740713595E-2</v>
      </c>
      <c r="FC230" s="5">
        <v>8.6737405427977796E-2</v>
      </c>
      <c r="FD230" s="5">
        <v>0.42302171397637001</v>
      </c>
      <c r="FE230" s="5">
        <v>-0.21439877252699299</v>
      </c>
      <c r="FF230" s="5">
        <v>5.16003618552403E-2</v>
      </c>
      <c r="FG230" s="5">
        <v>7.1941666057043802E-2</v>
      </c>
      <c r="FH230" s="5">
        <v>0.57223084158249904</v>
      </c>
      <c r="FI230" s="5">
        <v>-0.42860719827480898</v>
      </c>
      <c r="FJ230" s="5">
        <v>0.59042488419348704</v>
      </c>
      <c r="FK230" s="5">
        <v>-0.31924867643766403</v>
      </c>
      <c r="FL230" s="5">
        <v>0.11509492143278401</v>
      </c>
      <c r="FM230" s="5">
        <v>-0.10538184889306</v>
      </c>
      <c r="FN230" s="5">
        <v>0.54867179546108702</v>
      </c>
      <c r="FO230" s="5">
        <v>-0.28025913736152203</v>
      </c>
      <c r="FP230" s="5">
        <v>0.58026994523381104</v>
      </c>
      <c r="FQ230" s="5">
        <v>-0.355225479935243</v>
      </c>
      <c r="FR230" s="5">
        <v>-1.5497303548419E-2</v>
      </c>
      <c r="FS230" s="5">
        <v>-5.9482750710188798E-2</v>
      </c>
      <c r="FT230" s="5">
        <v>0.40594421603270098</v>
      </c>
      <c r="FU230" s="5">
        <v>-0.15250208612318</v>
      </c>
      <c r="FV230" s="5">
        <v>0.15260730211818899</v>
      </c>
      <c r="FW230" s="5">
        <v>4.5040153937861899E-2</v>
      </c>
      <c r="FX230" s="5">
        <v>0.268222074226459</v>
      </c>
      <c r="FY230" s="5">
        <v>-9.8992781770451996E-2</v>
      </c>
      <c r="FZ230" s="5">
        <v>0.44612941334401002</v>
      </c>
      <c r="GA230" s="5">
        <v>-0.17088549042179499</v>
      </c>
      <c r="GB230" s="5">
        <v>9.7241979052205996E-2</v>
      </c>
      <c r="GC230" s="5">
        <v>0.107161955413603</v>
      </c>
      <c r="GD230" s="5">
        <v>-0.15223035956304701</v>
      </c>
      <c r="GE230" s="5">
        <v>0.15395685342246301</v>
      </c>
      <c r="GF230" s="5">
        <v>0.23175062044511499</v>
      </c>
      <c r="GG230" s="5">
        <v>3.1764875880649399E-2</v>
      </c>
      <c r="GH230" s="5">
        <v>-0.32642783259350799</v>
      </c>
      <c r="GI230" s="5">
        <v>0.286542763626081</v>
      </c>
      <c r="GJ230" s="5">
        <v>0.39781891039640599</v>
      </c>
      <c r="GK230" s="5">
        <v>-0.254701344829662</v>
      </c>
      <c r="GL230" s="5">
        <v>0.36179857754084099</v>
      </c>
      <c r="GM230" s="5">
        <v>-0.214207214871213</v>
      </c>
      <c r="GN230" s="5">
        <v>0.14160119823617401</v>
      </c>
      <c r="GO230" s="5">
        <v>5.6975311955535499E-2</v>
      </c>
      <c r="GP230" s="5">
        <v>0.62283544148460002</v>
      </c>
      <c r="GQ230" s="5">
        <v>-0.42403367023790201</v>
      </c>
      <c r="GR230" s="5">
        <v>0.516331500360108</v>
      </c>
      <c r="GS230" s="5">
        <v>-0.41542470089748201</v>
      </c>
      <c r="GT230" s="5">
        <v>0.28282662110935602</v>
      </c>
      <c r="GU230" s="5">
        <v>-9.4198338267151901E-3</v>
      </c>
      <c r="GV230" s="5">
        <v>0.49057760040694098</v>
      </c>
      <c r="GW230" s="5">
        <v>-0.30363777906429701</v>
      </c>
      <c r="GX230" s="5">
        <v>0.62590856955626395</v>
      </c>
      <c r="GY230" s="5">
        <v>-0.45624651663461901</v>
      </c>
      <c r="GZ230" s="5">
        <v>3.80408691987177E-2</v>
      </c>
      <c r="HA230" s="5">
        <v>-4.9089943157801699E-2</v>
      </c>
      <c r="HB230" s="5">
        <v>0.24208267927850499</v>
      </c>
      <c r="HC230" s="5">
        <v>1.4493884598955901E-4</v>
      </c>
      <c r="HD230" s="5">
        <v>0.15472518569400201</v>
      </c>
      <c r="HE230" s="5">
        <v>0.16154535818844601</v>
      </c>
      <c r="HF230" s="5">
        <v>7.1453211179937803E-2</v>
      </c>
      <c r="HG230" s="5">
        <v>-8.5320887475826904E-2</v>
      </c>
      <c r="HH230" s="5">
        <v>7.3086906554834602E-2</v>
      </c>
      <c r="HI230" s="5">
        <v>-2.6076110341988701E-2</v>
      </c>
      <c r="HJ230" s="5">
        <v>6.4292753832350197E-2</v>
      </c>
      <c r="HK230" s="5">
        <v>-8.7297696739285099E-2</v>
      </c>
      <c r="HL230" s="5">
        <v>0.34990237624876602</v>
      </c>
      <c r="HM230" s="5">
        <v>-0.115309571867816</v>
      </c>
      <c r="HN230" s="5">
        <v>7.8720023687315899E-2</v>
      </c>
      <c r="HO230" s="5">
        <v>2.2149446062764099E-2</v>
      </c>
      <c r="HP230" s="5">
        <v>0.45443708099203201</v>
      </c>
      <c r="HQ230" s="5">
        <v>-0.22631536728625801</v>
      </c>
      <c r="HR230" s="5">
        <v>0.47792467964359903</v>
      </c>
      <c r="HS230" s="5">
        <v>-0.19983008119739501</v>
      </c>
      <c r="HT230" s="5">
        <v>4.7843996982749E-2</v>
      </c>
      <c r="HU230" s="5">
        <v>9.85215722825135E-2</v>
      </c>
      <c r="HV230" s="5">
        <v>1</v>
      </c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</row>
    <row r="231" spans="1:389" x14ac:dyDescent="0.45">
      <c r="A231" s="4" t="str">
        <f ca="1">"MLI / beta2dist in "&amp;CELL("address",'damages-1990'!$K$116)</f>
        <v>MLI / beta2dist in '[BHM betas v3pd.xlsx]damages-1990'!$K$116</v>
      </c>
      <c r="B231" s="6">
        <v>-0.21320395155383401</v>
      </c>
      <c r="C231" s="5">
        <v>0.37308504937249998</v>
      </c>
      <c r="D231" s="5">
        <v>-0.14656605198018799</v>
      </c>
      <c r="E231" s="5">
        <v>0.34381021523749999</v>
      </c>
      <c r="F231" s="5">
        <v>-6.1229667555836803E-3</v>
      </c>
      <c r="G231" s="5">
        <v>3.3476100107505902E-2</v>
      </c>
      <c r="H231" s="5">
        <v>-6.2640591004522503E-2</v>
      </c>
      <c r="I231" s="5">
        <v>1.3569878501570799E-2</v>
      </c>
      <c r="J231" s="5">
        <v>-0.246078952070655</v>
      </c>
      <c r="K231" s="5">
        <v>0.43682418144766999</v>
      </c>
      <c r="L231" s="5">
        <v>-0.13744298610632899</v>
      </c>
      <c r="M231" s="5">
        <v>0.21385846242009901</v>
      </c>
      <c r="N231" s="5">
        <v>0.22119301556301499</v>
      </c>
      <c r="O231" s="5">
        <v>-0.31907179845834099</v>
      </c>
      <c r="P231" s="5">
        <v>-0.263207988189812</v>
      </c>
      <c r="Q231" s="5">
        <v>0.39401614583404498</v>
      </c>
      <c r="R231" s="5">
        <v>-0.181267364368284</v>
      </c>
      <c r="S231" s="5">
        <v>0.38650401970065501</v>
      </c>
      <c r="T231" s="5">
        <v>-0.1233143479828</v>
      </c>
      <c r="U231" s="5">
        <v>0.111477610662417</v>
      </c>
      <c r="V231" s="5">
        <v>-4.3485262795181501E-3</v>
      </c>
      <c r="W231" s="5">
        <v>-3.7685316840442001E-3</v>
      </c>
      <c r="X231" s="5">
        <v>-9.3793981803529103E-2</v>
      </c>
      <c r="Y231" s="5">
        <v>0.24462648949055099</v>
      </c>
      <c r="Z231" s="5">
        <v>-0.13125080833139599</v>
      </c>
      <c r="AA231" s="5">
        <v>0.16964578725282001</v>
      </c>
      <c r="AB231" s="5">
        <v>-0.426026267092044</v>
      </c>
      <c r="AC231" s="5">
        <v>0.67611705461357996</v>
      </c>
      <c r="AD231" s="5">
        <v>-0.56864508380953405</v>
      </c>
      <c r="AE231" s="5">
        <v>0.76499996458145103</v>
      </c>
      <c r="AF231" s="5">
        <v>-0.18696687494283701</v>
      </c>
      <c r="AG231" s="5">
        <v>0.39288005113511199</v>
      </c>
      <c r="AH231" s="5">
        <v>-7.3213135525290697E-3</v>
      </c>
      <c r="AI231" s="5">
        <v>2.0724627973990301E-2</v>
      </c>
      <c r="AJ231" s="5">
        <v>-0.30818375568511702</v>
      </c>
      <c r="AK231" s="5">
        <v>0.50201446487852497</v>
      </c>
      <c r="AL231" s="5">
        <v>0.298987521756167</v>
      </c>
      <c r="AM231" s="5">
        <v>-0.268887800184407</v>
      </c>
      <c r="AN231" s="5">
        <v>-2.10961325599659E-2</v>
      </c>
      <c r="AO231" s="5">
        <v>2.0394002425563499E-2</v>
      </c>
      <c r="AP231" s="5">
        <v>-0.238851537274614</v>
      </c>
      <c r="AQ231" s="5">
        <v>0.26412037307403902</v>
      </c>
      <c r="AR231" s="5">
        <v>-6.5610470569111207E-2</v>
      </c>
      <c r="AS231" s="5">
        <v>0.231342369752501</v>
      </c>
      <c r="AT231" s="5">
        <v>0.25275525947586902</v>
      </c>
      <c r="AU231" s="5">
        <v>-0.183559676871901</v>
      </c>
      <c r="AV231" s="5">
        <v>-0.205122938003855</v>
      </c>
      <c r="AW231" s="5">
        <v>0.53532230407704395</v>
      </c>
      <c r="AX231" s="5">
        <v>-0.17569751580715401</v>
      </c>
      <c r="AY231" s="5">
        <v>0.44237855515311703</v>
      </c>
      <c r="AZ231" s="5">
        <v>-0.32880052507767499</v>
      </c>
      <c r="BA231" s="5">
        <v>0.47764064909739401</v>
      </c>
      <c r="BB231" s="5">
        <v>-0.11922721214213999</v>
      </c>
      <c r="BC231" s="5">
        <v>0.32727587395199798</v>
      </c>
      <c r="BD231" s="5">
        <v>-0.131334611519134</v>
      </c>
      <c r="BE231" s="5">
        <v>0.23282640392418</v>
      </c>
      <c r="BF231" s="5">
        <v>-0.17471436108802699</v>
      </c>
      <c r="BG231" s="5">
        <v>0.351109441597586</v>
      </c>
      <c r="BH231" s="5">
        <v>-0.30701208080361497</v>
      </c>
      <c r="BI231" s="5">
        <v>0.55985064455491595</v>
      </c>
      <c r="BJ231" s="5">
        <v>7.7962584577122903E-3</v>
      </c>
      <c r="BK231" s="5">
        <v>-0.19146588920920601</v>
      </c>
      <c r="BL231" s="5">
        <v>-0.15534450377815601</v>
      </c>
      <c r="BM231" s="5">
        <v>0.11859930608305699</v>
      </c>
      <c r="BN231" s="5">
        <v>3.0277798746969498E-3</v>
      </c>
      <c r="BO231" s="5">
        <v>-3.7304498245048598E-2</v>
      </c>
      <c r="BP231" s="5">
        <v>2.0473018679707501E-2</v>
      </c>
      <c r="BQ231" s="5">
        <v>-0.10449591628433701</v>
      </c>
      <c r="BR231" s="5">
        <v>-0.46702158094146301</v>
      </c>
      <c r="BS231" s="5">
        <v>0.65382467581662995</v>
      </c>
      <c r="BT231" s="5">
        <v>-0.36255633941534099</v>
      </c>
      <c r="BU231" s="5">
        <v>0.67321230336543902</v>
      </c>
      <c r="BV231" s="5">
        <v>-0.189850154248597</v>
      </c>
      <c r="BW231" s="5">
        <v>0.40393184801794502</v>
      </c>
      <c r="BX231" s="5">
        <v>-0.207169922162802</v>
      </c>
      <c r="BY231" s="5">
        <v>0.44291665127805202</v>
      </c>
      <c r="BZ231" s="5">
        <v>-0.19625537148462299</v>
      </c>
      <c r="CA231" s="5">
        <v>0.40895971825462502</v>
      </c>
      <c r="CB231" s="5">
        <v>1.3900934145755901E-2</v>
      </c>
      <c r="CC231" s="5">
        <v>0.20156190339850699</v>
      </c>
      <c r="CD231" s="5">
        <v>-5.5207307434646601E-2</v>
      </c>
      <c r="CE231" s="5">
        <v>0.20223605964545399</v>
      </c>
      <c r="CF231" s="5">
        <v>-0.24116922586992801</v>
      </c>
      <c r="CG231" s="5">
        <v>0.417773805119247</v>
      </c>
      <c r="CH231" s="5">
        <v>0.27292672457872802</v>
      </c>
      <c r="CI231" s="5">
        <v>-0.200864680799241</v>
      </c>
      <c r="CJ231" s="5">
        <v>-7.5983447444796307E-2</v>
      </c>
      <c r="CK231" s="5">
        <v>0.16026297864234201</v>
      </c>
      <c r="CL231" s="5">
        <v>-8.6905165213872204E-2</v>
      </c>
      <c r="CM231" s="5">
        <v>8.7199766782822194E-2</v>
      </c>
      <c r="CN231" s="5">
        <v>-9.9840457344000294E-2</v>
      </c>
      <c r="CO231" s="5">
        <v>0.11120631000975</v>
      </c>
      <c r="CP231" s="5">
        <v>-0.28682801795020502</v>
      </c>
      <c r="CQ231" s="5">
        <v>0.41089873347900102</v>
      </c>
      <c r="CR231" s="5">
        <v>-0.228716362746159</v>
      </c>
      <c r="CS231" s="5">
        <v>0.37039536299322301</v>
      </c>
      <c r="CT231" s="5">
        <v>-0.173143539122672</v>
      </c>
      <c r="CU231" s="5">
        <v>0.201636062543435</v>
      </c>
      <c r="CV231" s="5">
        <v>-0.29371210510934098</v>
      </c>
      <c r="CW231" s="5">
        <v>0.40644676220367898</v>
      </c>
      <c r="CX231" s="5">
        <v>-0.544347704405861</v>
      </c>
      <c r="CY231" s="5">
        <v>0.79590366487236597</v>
      </c>
      <c r="CZ231" s="5">
        <v>-0.12732422728221099</v>
      </c>
      <c r="DA231" s="5">
        <v>0.31428507750104501</v>
      </c>
      <c r="DB231" s="5">
        <v>-0.227976879489276</v>
      </c>
      <c r="DC231" s="5">
        <v>0.42493837158921399</v>
      </c>
      <c r="DD231" s="5">
        <v>-0.41478851993830501</v>
      </c>
      <c r="DE231" s="5">
        <v>0.55383929291378498</v>
      </c>
      <c r="DF231" s="5">
        <v>-0.17752210779333899</v>
      </c>
      <c r="DG231" s="5">
        <v>0.34171006100804602</v>
      </c>
      <c r="DH231" s="5">
        <v>-3.4418840257261898E-2</v>
      </c>
      <c r="DI231" s="5">
        <v>0.12651151941041</v>
      </c>
      <c r="DJ231" s="5">
        <v>-0.25800519401504202</v>
      </c>
      <c r="DK231" s="5">
        <v>0.286353121317515</v>
      </c>
      <c r="DL231" s="5">
        <v>-6.7686528130452395E-2</v>
      </c>
      <c r="DM231" s="5">
        <v>0.279394512563366</v>
      </c>
      <c r="DN231" s="5">
        <v>-0.25288691976511701</v>
      </c>
      <c r="DO231" s="5">
        <v>0.27593273773126897</v>
      </c>
      <c r="DP231" s="5">
        <v>-1.7790095483812999E-2</v>
      </c>
      <c r="DQ231" s="5">
        <v>7.1518409089768795E-2</v>
      </c>
      <c r="DR231" s="5">
        <v>-9.9929056133823399E-2</v>
      </c>
      <c r="DS231" s="5">
        <v>0.175922403318097</v>
      </c>
      <c r="DT231" s="5">
        <v>-0.17142423712080801</v>
      </c>
      <c r="DU231" s="5">
        <v>0.223187949141848</v>
      </c>
      <c r="DV231" s="5">
        <v>-0.182679575512361</v>
      </c>
      <c r="DW231" s="5">
        <v>0.37575008686085098</v>
      </c>
      <c r="DX231" s="5">
        <v>-0.26397728178383001</v>
      </c>
      <c r="DY231" s="5">
        <v>0.33687933352463101</v>
      </c>
      <c r="DZ231" s="5">
        <v>8.7314664969947303E-2</v>
      </c>
      <c r="EA231" s="5">
        <v>-0.137574176222198</v>
      </c>
      <c r="EB231" s="5">
        <v>-0.501423324032511</v>
      </c>
      <c r="EC231" s="5">
        <v>0.68515391674060699</v>
      </c>
      <c r="ED231" s="5">
        <v>-0.43859064018188498</v>
      </c>
      <c r="EE231" s="5">
        <v>0.63737998247376104</v>
      </c>
      <c r="EF231" s="5">
        <v>-0.25365659970043702</v>
      </c>
      <c r="EG231" s="5">
        <v>0.38046814212818503</v>
      </c>
      <c r="EH231" s="5">
        <v>-0.236804336723384</v>
      </c>
      <c r="EI231" s="5">
        <v>0.475428342966914</v>
      </c>
      <c r="EJ231" s="5">
        <v>-0.30770113821137401</v>
      </c>
      <c r="EK231" s="5">
        <v>0.53586130813105903</v>
      </c>
      <c r="EL231" s="5">
        <v>-0.25025730840000499</v>
      </c>
      <c r="EM231" s="5">
        <v>0.50456363215632205</v>
      </c>
      <c r="EN231" s="5">
        <v>-3.9708146541366798E-2</v>
      </c>
      <c r="EO231" s="5">
        <v>8.1789774685303199E-2</v>
      </c>
      <c r="EP231" s="5">
        <v>-0.32216905376713401</v>
      </c>
      <c r="EQ231" s="5">
        <v>0.456538024140063</v>
      </c>
      <c r="ER231" s="5">
        <v>-0.115668565866324</v>
      </c>
      <c r="ES231" s="5">
        <v>0.279542730480275</v>
      </c>
      <c r="ET231" s="5">
        <v>-2.48122358513721E-2</v>
      </c>
      <c r="EU231" s="5">
        <v>0.23949430530777899</v>
      </c>
      <c r="EV231" s="5">
        <v>-0.24386432789910301</v>
      </c>
      <c r="EW231" s="5">
        <v>0.50508194364617998</v>
      </c>
      <c r="EX231" s="5">
        <v>0.140185251030259</v>
      </c>
      <c r="EY231" s="5">
        <v>6.8324222899626502E-2</v>
      </c>
      <c r="EZ231" s="5">
        <v>-0.17707276161951799</v>
      </c>
      <c r="FA231" s="5">
        <v>0.389806354515426</v>
      </c>
      <c r="FB231" s="5">
        <v>-1.55999226980938E-2</v>
      </c>
      <c r="FC231" s="5">
        <v>4.7411353627875401E-2</v>
      </c>
      <c r="FD231" s="5">
        <v>-0.17288830730207</v>
      </c>
      <c r="FE231" s="5">
        <v>0.30150475041660002</v>
      </c>
      <c r="FF231" s="5">
        <v>-7.9064094014223395E-3</v>
      </c>
      <c r="FG231" s="5">
        <v>2.9320207143300199E-2</v>
      </c>
      <c r="FH231" s="5">
        <v>-7.3832311625598002E-2</v>
      </c>
      <c r="FI231" s="5">
        <v>0.31148598000981298</v>
      </c>
      <c r="FJ231" s="5">
        <v>-0.345480830210253</v>
      </c>
      <c r="FK231" s="5">
        <v>0.55947095040234895</v>
      </c>
      <c r="FL231" s="5">
        <v>-0.17887212738502301</v>
      </c>
      <c r="FM231" s="5">
        <v>0.21855184794780999</v>
      </c>
      <c r="FN231" s="5">
        <v>-0.32768634596750401</v>
      </c>
      <c r="FO231" s="5">
        <v>0.470088592050876</v>
      </c>
      <c r="FP231" s="5">
        <v>-0.31151090692989902</v>
      </c>
      <c r="FQ231" s="5">
        <v>0.470984909378863</v>
      </c>
      <c r="FR231" s="5">
        <v>1.9908893181375401E-2</v>
      </c>
      <c r="FS231" s="5">
        <v>2.1890415163291502E-2</v>
      </c>
      <c r="FT231" s="5">
        <v>-0.159169189506039</v>
      </c>
      <c r="FU231" s="5">
        <v>0.30478216033086197</v>
      </c>
      <c r="FV231" s="5">
        <v>-2.26588891950157E-2</v>
      </c>
      <c r="FW231" s="5">
        <v>0.111601641950623</v>
      </c>
      <c r="FX231" s="5">
        <v>-4.60750498243339E-2</v>
      </c>
      <c r="FY231" s="5">
        <v>0.201553043131455</v>
      </c>
      <c r="FZ231" s="5">
        <v>-0.15868097162185801</v>
      </c>
      <c r="GA231" s="5">
        <v>0.31535388791476299</v>
      </c>
      <c r="GB231" s="5">
        <v>-6.0382098355867997E-2</v>
      </c>
      <c r="GC231" s="5">
        <v>9.9761814760708598E-2</v>
      </c>
      <c r="GD231" s="5">
        <v>1.8864090757868299E-2</v>
      </c>
      <c r="GE231" s="5">
        <v>-1.36230989255862E-2</v>
      </c>
      <c r="GF231" s="5">
        <v>4.1901011371856797E-2</v>
      </c>
      <c r="GG231" s="5">
        <v>0.18697389946670401</v>
      </c>
      <c r="GH231" s="5">
        <v>0.26284073339587199</v>
      </c>
      <c r="GI231" s="5">
        <v>-0.40168691096819598</v>
      </c>
      <c r="GJ231" s="5">
        <v>-7.73004213601029E-2</v>
      </c>
      <c r="GK231" s="5">
        <v>0.30840150086292201</v>
      </c>
      <c r="GL231" s="5">
        <v>-0.33157603362495103</v>
      </c>
      <c r="GM231" s="5">
        <v>0.43879650423473798</v>
      </c>
      <c r="GN231" s="5">
        <v>-5.1405696088185703E-2</v>
      </c>
      <c r="GO231" s="5">
        <v>0.122606425208361</v>
      </c>
      <c r="GP231" s="5">
        <v>-0.36490385001449899</v>
      </c>
      <c r="GQ231" s="5">
        <v>0.57370207763264902</v>
      </c>
      <c r="GR231" s="5">
        <v>-0.21614460078082101</v>
      </c>
      <c r="GS231" s="5">
        <v>0.50149031097428698</v>
      </c>
      <c r="GT231" s="5">
        <v>-8.9836841274806997E-2</v>
      </c>
      <c r="GU231" s="5">
        <v>0.14232884492141501</v>
      </c>
      <c r="GV231" s="5">
        <v>-0.19429231253692</v>
      </c>
      <c r="GW231" s="5">
        <v>0.42595433796724103</v>
      </c>
      <c r="GX231" s="5">
        <v>-0.350519601740371</v>
      </c>
      <c r="GY231" s="5">
        <v>0.56059147500708095</v>
      </c>
      <c r="GZ231" s="5">
        <v>-0.14774907929527201</v>
      </c>
      <c r="HA231" s="5">
        <v>0.108523434355608</v>
      </c>
      <c r="HB231" s="5">
        <v>0.113409302046012</v>
      </c>
      <c r="HC231" s="5">
        <v>7.6442272095573499E-2</v>
      </c>
      <c r="HD231" s="5">
        <v>-0.102089589936042</v>
      </c>
      <c r="HE231" s="5">
        <v>0.17752516018275699</v>
      </c>
      <c r="HF231" s="5">
        <v>-0.22799058013881601</v>
      </c>
      <c r="HG231" s="5">
        <v>0.25027392805812998</v>
      </c>
      <c r="HH231" s="5">
        <v>-0.106490037405851</v>
      </c>
      <c r="HI231" s="5">
        <v>0.12080318134014</v>
      </c>
      <c r="HJ231" s="5">
        <v>-0.24106808888977699</v>
      </c>
      <c r="HK231" s="5">
        <v>0.259631733871373</v>
      </c>
      <c r="HL231" s="5">
        <v>-0.19073842390284901</v>
      </c>
      <c r="HM231" s="5">
        <v>0.39060516150626601</v>
      </c>
      <c r="HN231" s="5">
        <v>-7.6375323642255202E-2</v>
      </c>
      <c r="HO231" s="5">
        <v>0.115340432331916</v>
      </c>
      <c r="HP231" s="5">
        <v>-3.5295089491643103E-2</v>
      </c>
      <c r="HQ231" s="5">
        <v>0.28951330373559397</v>
      </c>
      <c r="HR231" s="5">
        <v>-9.0226013135267194E-2</v>
      </c>
      <c r="HS231" s="5">
        <v>0.24987191151757701</v>
      </c>
      <c r="HT231" s="5">
        <v>-6.12650597727777E-3</v>
      </c>
      <c r="HU231" s="5">
        <v>2.0644482703820501E-2</v>
      </c>
      <c r="HV231" s="5">
        <v>-0.76295312588398001</v>
      </c>
      <c r="HW231" s="5">
        <v>1</v>
      </c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</row>
    <row r="232" spans="1:389" x14ac:dyDescent="0.45">
      <c r="A232" s="4" t="str">
        <f ca="1">"MMR / beta1dist in "&amp;CELL("address",'damages-1990'!$J$117)</f>
        <v>MMR / beta1dist in '[BHM betas v3pd.xlsx]damages-1990'!$J$117</v>
      </c>
      <c r="B232" s="6">
        <v>0.20994742829629301</v>
      </c>
      <c r="C232" s="5">
        <v>0.25300602437877301</v>
      </c>
      <c r="D232" s="5">
        <v>0.54439154702402803</v>
      </c>
      <c r="E232" s="5">
        <v>-0.13675157402114199</v>
      </c>
      <c r="F232" s="5">
        <v>0.19726435394650599</v>
      </c>
      <c r="G232" s="5">
        <v>9.3979964614120406E-2</v>
      </c>
      <c r="H232" s="5">
        <v>-0.113724281901649</v>
      </c>
      <c r="I232" s="5">
        <v>8.2059218104463899E-2</v>
      </c>
      <c r="J232" s="5">
        <v>0.503904679392701</v>
      </c>
      <c r="K232" s="5">
        <v>-0.113172284025032</v>
      </c>
      <c r="L232" s="5">
        <v>0.50626409625277002</v>
      </c>
      <c r="M232" s="5">
        <v>-0.16099085308365901</v>
      </c>
      <c r="N232" s="5">
        <v>7.8841360357638397E-3</v>
      </c>
      <c r="O232" s="5">
        <v>5.17679125801115E-2</v>
      </c>
      <c r="P232" s="5">
        <v>0.29507892040669498</v>
      </c>
      <c r="Q232" s="5">
        <v>-7.0935708528702804E-2</v>
      </c>
      <c r="R232" s="5">
        <v>0.63298982922199998</v>
      </c>
      <c r="S232" s="5">
        <v>-0.26629050965234002</v>
      </c>
      <c r="T232" s="5">
        <v>-6.3022964220453101E-2</v>
      </c>
      <c r="U232" s="5">
        <v>9.7370053508093607E-2</v>
      </c>
      <c r="V232" s="5">
        <v>0.216258271032993</v>
      </c>
      <c r="W232" s="5">
        <v>0.24280603686805299</v>
      </c>
      <c r="X232" s="5">
        <v>0.54387750464668305</v>
      </c>
      <c r="Y232" s="5">
        <v>-0.147948991792721</v>
      </c>
      <c r="Z232" s="5">
        <v>4.1849348200839902E-2</v>
      </c>
      <c r="AA232" s="5">
        <v>8.0884231130979298E-2</v>
      </c>
      <c r="AB232" s="5">
        <v>0.57915250971073295</v>
      </c>
      <c r="AC232" s="5">
        <v>-0.31104680868638801</v>
      </c>
      <c r="AD232" s="5">
        <v>0.49012011118566201</v>
      </c>
      <c r="AE232" s="5">
        <v>-0.168168008877875</v>
      </c>
      <c r="AF232" s="5">
        <v>0.53826809766794004</v>
      </c>
      <c r="AG232" s="5">
        <v>-0.213623174948255</v>
      </c>
      <c r="AH232" s="5">
        <v>0.13340454148449399</v>
      </c>
      <c r="AI232" s="5">
        <v>0.113545319515909</v>
      </c>
      <c r="AJ232" s="5">
        <v>0.41834160540638698</v>
      </c>
      <c r="AK232" s="5">
        <v>-4.6188887596784099E-2</v>
      </c>
      <c r="AL232" s="5">
        <v>0.42320830998231102</v>
      </c>
      <c r="AM232" s="5">
        <v>-0.21713998955128599</v>
      </c>
      <c r="AN232" s="5">
        <v>1.9098810521041499E-2</v>
      </c>
      <c r="AO232" s="5">
        <v>0.147711455176257</v>
      </c>
      <c r="AP232" s="5">
        <v>-7.7259130320949707E-2</v>
      </c>
      <c r="AQ232" s="5">
        <v>0.137512030086126</v>
      </c>
      <c r="AR232" s="5">
        <v>0.39808357145123602</v>
      </c>
      <c r="AS232" s="5">
        <v>-9.7582462374115497E-2</v>
      </c>
      <c r="AT232" s="5">
        <v>0.36089258605536101</v>
      </c>
      <c r="AU232" s="5">
        <v>-0.15471802710440699</v>
      </c>
      <c r="AV232" s="5">
        <v>0.70140535065512899</v>
      </c>
      <c r="AW232" s="5">
        <v>-0.39858345541724899</v>
      </c>
      <c r="AX232" s="5">
        <v>0.64988137438483196</v>
      </c>
      <c r="AY232" s="5">
        <v>-0.32982555748306502</v>
      </c>
      <c r="AZ232" s="5">
        <v>0.35994101601148498</v>
      </c>
      <c r="BA232" s="5">
        <v>-0.15311572845600199</v>
      </c>
      <c r="BB232" s="5">
        <v>0.49567549988376403</v>
      </c>
      <c r="BC232" s="5">
        <v>-6.6998481948333397E-2</v>
      </c>
      <c r="BD232" s="5">
        <v>0.102384678212639</v>
      </c>
      <c r="BE232" s="5">
        <v>0.33002535890791002</v>
      </c>
      <c r="BF232" s="5">
        <v>0.398538526439006</v>
      </c>
      <c r="BG232" s="5">
        <v>-5.0061002339535102E-2</v>
      </c>
      <c r="BH232" s="5">
        <v>0.58261931926965804</v>
      </c>
      <c r="BI232" s="5">
        <v>-0.24779808538042999</v>
      </c>
      <c r="BJ232" s="5">
        <v>-0.42295229272155199</v>
      </c>
      <c r="BK232" s="5">
        <v>0.37814900489158798</v>
      </c>
      <c r="BL232" s="5">
        <v>-4.3667937075804401E-2</v>
      </c>
      <c r="BM232" s="5">
        <v>3.8553121283400202E-2</v>
      </c>
      <c r="BN232" s="5">
        <v>-9.6925345361160195E-2</v>
      </c>
      <c r="BO232" s="5">
        <v>0.25408623466800101</v>
      </c>
      <c r="BP232" s="5">
        <v>-0.21447030038714399</v>
      </c>
      <c r="BQ232" s="5">
        <v>0.44393327775666702</v>
      </c>
      <c r="BR232" s="5">
        <v>0.49062634710201503</v>
      </c>
      <c r="BS232" s="5">
        <v>-0.19068234916027599</v>
      </c>
      <c r="BT232" s="5">
        <v>0.63622909875306199</v>
      </c>
      <c r="BU232" s="5">
        <v>-0.304255624959404</v>
      </c>
      <c r="BV232" s="5">
        <v>0.583608456939683</v>
      </c>
      <c r="BW232" s="5">
        <v>-0.20676539420626699</v>
      </c>
      <c r="BX232" s="5">
        <v>0.58635621128078597</v>
      </c>
      <c r="BY232" s="5">
        <v>-0.27330948497077401</v>
      </c>
      <c r="BZ232" s="5">
        <v>0.673125652780178</v>
      </c>
      <c r="CA232" s="5">
        <v>-0.33772461925803199</v>
      </c>
      <c r="CB232" s="5">
        <v>0.488993193690415</v>
      </c>
      <c r="CC232" s="5">
        <v>-0.289329783718064</v>
      </c>
      <c r="CD232" s="5">
        <v>0.20840003076772701</v>
      </c>
      <c r="CE232" s="5">
        <v>4.2425280921464897E-4</v>
      </c>
      <c r="CF232" s="5">
        <v>0.421378235844656</v>
      </c>
      <c r="CG232" s="5">
        <v>-0.17807550323903601</v>
      </c>
      <c r="CH232" s="5">
        <v>0.32233875044342303</v>
      </c>
      <c r="CI232" s="5">
        <v>-0.13024110688518201</v>
      </c>
      <c r="CJ232" s="5">
        <v>0.21516177977675499</v>
      </c>
      <c r="CK232" s="5">
        <v>6.60760772323917E-2</v>
      </c>
      <c r="CL232" s="5">
        <v>-2.50669043867108E-2</v>
      </c>
      <c r="CM232" s="5">
        <v>0.108653397278002</v>
      </c>
      <c r="CN232" s="5">
        <v>6.8696543551155396E-3</v>
      </c>
      <c r="CO232" s="5">
        <v>0.101092046768419</v>
      </c>
      <c r="CP232" s="5">
        <v>0.43650935255391599</v>
      </c>
      <c r="CQ232" s="5">
        <v>-0.16651322253721601</v>
      </c>
      <c r="CR232" s="5">
        <v>0.30054349050445101</v>
      </c>
      <c r="CS232" s="5">
        <v>-5.9689301765255103E-2</v>
      </c>
      <c r="CT232" s="5">
        <v>-2.0190873964869099E-2</v>
      </c>
      <c r="CU232" s="5">
        <v>7.0852181324822794E-2</v>
      </c>
      <c r="CV232" s="5">
        <v>0.44678001803224998</v>
      </c>
      <c r="CW232" s="5">
        <v>-0.21773076505143499</v>
      </c>
      <c r="CX232" s="5">
        <v>0.58186391119339897</v>
      </c>
      <c r="CY232" s="5">
        <v>-0.23103476486211599</v>
      </c>
      <c r="CZ232" s="5">
        <v>0.620260606809384</v>
      </c>
      <c r="DA232" s="5">
        <v>-0.30499364503930898</v>
      </c>
      <c r="DB232" s="5">
        <v>0.57932273863498296</v>
      </c>
      <c r="DC232" s="5">
        <v>-0.17468097822060999</v>
      </c>
      <c r="DD232" s="5">
        <v>0.46361966367323798</v>
      </c>
      <c r="DE232" s="5">
        <v>-0.166891540487873</v>
      </c>
      <c r="DF232" s="5">
        <v>0.40148697352023399</v>
      </c>
      <c r="DG232" s="5">
        <v>-8.0453954102459396E-2</v>
      </c>
      <c r="DH232" s="5">
        <v>0.26739830898240002</v>
      </c>
      <c r="DI232" s="5">
        <v>9.4266740156637094E-2</v>
      </c>
      <c r="DJ232" s="5">
        <v>-0.128354097200573</v>
      </c>
      <c r="DK232" s="5">
        <v>0.166913179592969</v>
      </c>
      <c r="DL232" s="5">
        <v>0.478642977267006</v>
      </c>
      <c r="DM232" s="5">
        <v>-0.120703965870779</v>
      </c>
      <c r="DN232" s="5">
        <v>-0.23005809560467599</v>
      </c>
      <c r="DO232" s="5">
        <v>0.22452695187560801</v>
      </c>
      <c r="DP232" s="5">
        <v>0.37878323682075998</v>
      </c>
      <c r="DQ232" s="5">
        <v>-8.6359329427680098E-2</v>
      </c>
      <c r="DR232" s="5">
        <v>0.118303470273237</v>
      </c>
      <c r="DS232" s="5">
        <v>0.105415474045166</v>
      </c>
      <c r="DT232" s="5">
        <v>0.37028585304118999</v>
      </c>
      <c r="DU232" s="5">
        <v>-0.20243556371513999</v>
      </c>
      <c r="DV232" s="5">
        <v>0.55982572089749005</v>
      </c>
      <c r="DW232" s="5">
        <v>-0.29866370201921499</v>
      </c>
      <c r="DX232" s="5">
        <v>-2.4088470650620399E-2</v>
      </c>
      <c r="DY232" s="5">
        <v>5.9753284619930597E-2</v>
      </c>
      <c r="DZ232" s="5">
        <v>4.4378829066093403E-2</v>
      </c>
      <c r="EA232" s="5">
        <v>2.1905553759965099E-2</v>
      </c>
      <c r="EB232" s="5">
        <v>0.56331996833488895</v>
      </c>
      <c r="EC232" s="5">
        <v>-0.26193122578169198</v>
      </c>
      <c r="ED232" s="5">
        <v>0.60871756977185898</v>
      </c>
      <c r="EE232" s="5">
        <v>-0.24717195948009099</v>
      </c>
      <c r="EF232" s="5">
        <v>0.268812401677129</v>
      </c>
      <c r="EG232" s="5">
        <v>-4.5011894876500598E-2</v>
      </c>
      <c r="EH232" s="5">
        <v>0.51357243225837401</v>
      </c>
      <c r="EI232" s="5">
        <v>-0.164778781436932</v>
      </c>
      <c r="EJ232" s="5">
        <v>0.51228230414861697</v>
      </c>
      <c r="EK232" s="5">
        <v>-0.157440615281603</v>
      </c>
      <c r="EL232" s="5">
        <v>0.67210529194700197</v>
      </c>
      <c r="EM232" s="5">
        <v>-0.38878550745171903</v>
      </c>
      <c r="EN232" s="5">
        <v>0.33890945825396401</v>
      </c>
      <c r="EO232" s="5">
        <v>-5.1390256686218397E-2</v>
      </c>
      <c r="EP232" s="5">
        <v>0.44120767618867002</v>
      </c>
      <c r="EQ232" s="5">
        <v>-0.23539696162248899</v>
      </c>
      <c r="ER232" s="5">
        <v>0.43119470511090402</v>
      </c>
      <c r="ES232" s="5">
        <v>-8.56439849738653E-2</v>
      </c>
      <c r="ET232" s="5">
        <v>0.40146934632544601</v>
      </c>
      <c r="EU232" s="5">
        <v>-0.16218535390192301</v>
      </c>
      <c r="EV232" s="5">
        <v>0.49589921335491399</v>
      </c>
      <c r="EW232" s="5">
        <v>-0.24887248352178001</v>
      </c>
      <c r="EX232" s="5">
        <v>0.51919717302867596</v>
      </c>
      <c r="EY232" s="5">
        <v>-0.360496156697103</v>
      </c>
      <c r="EZ232" s="5">
        <v>0.425573204649148</v>
      </c>
      <c r="FA232" s="5">
        <v>-9.8874174422385594E-2</v>
      </c>
      <c r="FB232" s="5">
        <v>0.146816959961447</v>
      </c>
      <c r="FC232" s="5">
        <v>0.100386636064731</v>
      </c>
      <c r="FD232" s="5">
        <v>0.41518578995037297</v>
      </c>
      <c r="FE232" s="5">
        <v>-0.176828569819834</v>
      </c>
      <c r="FF232" s="5">
        <v>0.10612549990357099</v>
      </c>
      <c r="FG232" s="5">
        <v>9.7602174547309198E-2</v>
      </c>
      <c r="FH232" s="5">
        <v>0.65508044402039201</v>
      </c>
      <c r="FI232" s="5">
        <v>-0.42943445233586602</v>
      </c>
      <c r="FJ232" s="5">
        <v>0.63114892480125295</v>
      </c>
      <c r="FK232" s="5">
        <v>-0.19237801773961799</v>
      </c>
      <c r="FL232" s="5">
        <v>-3.8649685200628003E-2</v>
      </c>
      <c r="FM232" s="5">
        <v>8.6277514297812399E-2</v>
      </c>
      <c r="FN232" s="5">
        <v>0.33825291457046203</v>
      </c>
      <c r="FO232" s="5">
        <v>9.8547387130764899E-2</v>
      </c>
      <c r="FP232" s="5">
        <v>0.39730709416207399</v>
      </c>
      <c r="FQ232" s="5">
        <v>1.2817542158956999E-3</v>
      </c>
      <c r="FR232" s="5">
        <v>-0.32756298395460698</v>
      </c>
      <c r="FS232" s="5">
        <v>0.28003222130287098</v>
      </c>
      <c r="FT232" s="5">
        <v>0.52063860434418796</v>
      </c>
      <c r="FU232" s="5">
        <v>-0.12213577567537399</v>
      </c>
      <c r="FV232" s="5">
        <v>0.26122170384222299</v>
      </c>
      <c r="FW232" s="5">
        <v>4.3646398706682903E-2</v>
      </c>
      <c r="FX232" s="5">
        <v>0.43998572125458901</v>
      </c>
      <c r="FY232" s="5">
        <v>-0.17735436351519099</v>
      </c>
      <c r="FZ232" s="5">
        <v>0.54508125818851205</v>
      </c>
      <c r="GA232" s="5">
        <v>-0.113020169565076</v>
      </c>
      <c r="GB232" s="5">
        <v>0.13977698625940499</v>
      </c>
      <c r="GC232" s="5">
        <v>0.162170448245161</v>
      </c>
      <c r="GD232" s="5">
        <v>-0.12588443124825199</v>
      </c>
      <c r="GE232" s="5">
        <v>0.14604420693016901</v>
      </c>
      <c r="GF232" s="5">
        <v>0.36941557284270399</v>
      </c>
      <c r="GG232" s="5">
        <v>-2.6198788634632601E-2</v>
      </c>
      <c r="GH232" s="5">
        <v>-0.40751604921041401</v>
      </c>
      <c r="GI232" s="5">
        <v>0.34178411243388201</v>
      </c>
      <c r="GJ232" s="5">
        <v>0.64865167061899298</v>
      </c>
      <c r="GK232" s="5">
        <v>-0.45997134727411199</v>
      </c>
      <c r="GL232" s="5">
        <v>0.36114795175299202</v>
      </c>
      <c r="GM232" s="5">
        <v>-0.12720615987693601</v>
      </c>
      <c r="GN232" s="5">
        <v>0.18911724144236</v>
      </c>
      <c r="GO232" s="5">
        <v>0.12493823668097701</v>
      </c>
      <c r="GP232" s="5">
        <v>0.44224425192953698</v>
      </c>
      <c r="GQ232" s="5">
        <v>-6.6131884686605899E-2</v>
      </c>
      <c r="GR232" s="5">
        <v>0.76302067195123102</v>
      </c>
      <c r="GS232" s="5">
        <v>-0.57358883752684198</v>
      </c>
      <c r="GT232" s="5">
        <v>0.36235345653075901</v>
      </c>
      <c r="GU232" s="5">
        <v>3.31444791059715E-2</v>
      </c>
      <c r="GV232" s="5">
        <v>0.53117483478502503</v>
      </c>
      <c r="GW232" s="5">
        <v>-0.28948508661917599</v>
      </c>
      <c r="GX232" s="5">
        <v>0.621482270249756</v>
      </c>
      <c r="GY232" s="5">
        <v>-0.31553325813114302</v>
      </c>
      <c r="GZ232" s="5">
        <v>-5.7661132180291202E-2</v>
      </c>
      <c r="HA232" s="5">
        <v>6.2623859910824906E-2</v>
      </c>
      <c r="HB232" s="5">
        <v>0.55153517175867095</v>
      </c>
      <c r="HC232" s="5">
        <v>-0.26498840911077098</v>
      </c>
      <c r="HD232" s="5">
        <v>0.164318162014359</v>
      </c>
      <c r="HE232" s="5">
        <v>0.28100630416733002</v>
      </c>
      <c r="HF232" s="5">
        <v>-8.4330191109954697E-2</v>
      </c>
      <c r="HG232" s="5">
        <v>0.14106431776394099</v>
      </c>
      <c r="HH232" s="5">
        <v>2.3945992545160898E-2</v>
      </c>
      <c r="HI232" s="5">
        <v>8.7020157769518505E-2</v>
      </c>
      <c r="HJ232" s="5">
        <v>-0.109776225244977</v>
      </c>
      <c r="HK232" s="5">
        <v>0.153788711078678</v>
      </c>
      <c r="HL232" s="5">
        <v>0.44108976512290998</v>
      </c>
      <c r="HM232" s="5">
        <v>-7.4325265644246699E-2</v>
      </c>
      <c r="HN232" s="5">
        <v>7.31308018805754E-2</v>
      </c>
      <c r="HO232" s="5">
        <v>0.12176639973586501</v>
      </c>
      <c r="HP232" s="5">
        <v>0.48543412161654398</v>
      </c>
      <c r="HQ232" s="5">
        <v>-0.13088777002396901</v>
      </c>
      <c r="HR232" s="5">
        <v>0.58778778043270496</v>
      </c>
      <c r="HS232" s="5">
        <v>-0.28622458107043203</v>
      </c>
      <c r="HT232" s="5">
        <v>9.7344000880720399E-2</v>
      </c>
      <c r="HU232" s="5">
        <v>0.137945012972954</v>
      </c>
      <c r="HV232" s="5">
        <v>0.52080888233070199</v>
      </c>
      <c r="HW232" s="5">
        <v>-0.189765199332942</v>
      </c>
      <c r="HX232" s="5">
        <v>1</v>
      </c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</row>
    <row r="233" spans="1:389" x14ac:dyDescent="0.45">
      <c r="A233" s="4" t="str">
        <f ca="1">"MMR / beta2dist in "&amp;CELL("address",'damages-1990'!$K$117)</f>
        <v>MMR / beta2dist in '[BHM betas v3pd.xlsx]damages-1990'!$K$117</v>
      </c>
      <c r="B233" s="6">
        <v>-7.1529767319962204E-2</v>
      </c>
      <c r="C233" s="5">
        <v>6.4214943759135307E-2</v>
      </c>
      <c r="D233" s="5">
        <v>-0.25203230639576901</v>
      </c>
      <c r="E233" s="5">
        <v>0.38997582066126801</v>
      </c>
      <c r="F233" s="5">
        <v>-6.2603983568600904E-2</v>
      </c>
      <c r="G233" s="5">
        <v>4.3782381623635097E-2</v>
      </c>
      <c r="H233" s="5">
        <v>5.50458046084525E-2</v>
      </c>
      <c r="I233" s="5">
        <v>-0.10288491343015201</v>
      </c>
      <c r="J233" s="5">
        <v>-0.25457091754012301</v>
      </c>
      <c r="K233" s="5">
        <v>0.35565686961285098</v>
      </c>
      <c r="L233" s="5">
        <v>-0.24153498496409101</v>
      </c>
      <c r="M233" s="5">
        <v>0.31746056152986701</v>
      </c>
      <c r="N233" s="5">
        <v>-1.5126093734316601E-2</v>
      </c>
      <c r="O233" s="5">
        <v>-5.1980338134920902E-2</v>
      </c>
      <c r="P233" s="5">
        <v>-0.29120364649094899</v>
      </c>
      <c r="Q233" s="5">
        <v>0.36036036631690599</v>
      </c>
      <c r="R233" s="5">
        <v>-0.29969178714919098</v>
      </c>
      <c r="S233" s="5">
        <v>0.44021966569573001</v>
      </c>
      <c r="T233" s="5">
        <v>-5.3629979251060299E-2</v>
      </c>
      <c r="U233" s="5">
        <v>2.1925259519986601E-2</v>
      </c>
      <c r="V233" s="5">
        <v>1.11854386259541E-2</v>
      </c>
      <c r="W233" s="5">
        <v>-0.10823484166264299</v>
      </c>
      <c r="X233" s="5">
        <v>-0.27518689931273399</v>
      </c>
      <c r="Y233" s="5">
        <v>0.38898167881259599</v>
      </c>
      <c r="Z233" s="5">
        <v>-4.3380430057847197E-2</v>
      </c>
      <c r="AA233" s="5">
        <v>3.6603051867105003E-2</v>
      </c>
      <c r="AB233" s="5">
        <v>-0.371688951783958</v>
      </c>
      <c r="AC233" s="5">
        <v>0.57394359857832999</v>
      </c>
      <c r="AD233" s="5">
        <v>-0.345453919618603</v>
      </c>
      <c r="AE233" s="5">
        <v>0.49420316880642901</v>
      </c>
      <c r="AF233" s="5">
        <v>-0.34324650759417302</v>
      </c>
      <c r="AG233" s="5">
        <v>0.44746032223812199</v>
      </c>
      <c r="AH233" s="5">
        <v>-3.6927306730204501E-2</v>
      </c>
      <c r="AI233" s="5">
        <v>8.7752097196766802E-3</v>
      </c>
      <c r="AJ233" s="5">
        <v>-0.23006092424115801</v>
      </c>
      <c r="AK233" s="5">
        <v>0.31289084260462102</v>
      </c>
      <c r="AL233" s="5">
        <v>-3.8656353466914303E-2</v>
      </c>
      <c r="AM233" s="5">
        <v>6.81263926625362E-2</v>
      </c>
      <c r="AN233" s="5">
        <v>-4.2272984826833497E-2</v>
      </c>
      <c r="AO233" s="5">
        <v>7.6374599600517699E-3</v>
      </c>
      <c r="AP233" s="5">
        <v>-0.108453565054605</v>
      </c>
      <c r="AQ233" s="5">
        <v>8.0066931595551893E-2</v>
      </c>
      <c r="AR233" s="5">
        <v>-7.6819698136978004E-2</v>
      </c>
      <c r="AS233" s="5">
        <v>0.16509291089450201</v>
      </c>
      <c r="AT233" s="5">
        <v>-2.3541155310356301E-2</v>
      </c>
      <c r="AU233" s="5">
        <v>4.4244208042656698E-2</v>
      </c>
      <c r="AV233" s="5">
        <v>-0.34340511164583198</v>
      </c>
      <c r="AW233" s="5">
        <v>0.57532918788658205</v>
      </c>
      <c r="AX233" s="5">
        <v>-0.31665978676470502</v>
      </c>
      <c r="AY233" s="5">
        <v>0.52195561993037198</v>
      </c>
      <c r="AZ233" s="5">
        <v>-0.34409149490234597</v>
      </c>
      <c r="BA233" s="5">
        <v>0.43151275583090898</v>
      </c>
      <c r="BB233" s="5">
        <v>-0.158671153801765</v>
      </c>
      <c r="BC233" s="5">
        <v>0.26021686136522698</v>
      </c>
      <c r="BD233" s="5">
        <v>-4.9526012675604601E-2</v>
      </c>
      <c r="BE233" s="5">
        <v>8.2084759856712007E-3</v>
      </c>
      <c r="BF233" s="5">
        <v>-0.13617272713343401</v>
      </c>
      <c r="BG233" s="5">
        <v>0.20631482539100199</v>
      </c>
      <c r="BH233" s="5">
        <v>-0.31086997810136102</v>
      </c>
      <c r="BI233" s="5">
        <v>0.52815164547342697</v>
      </c>
      <c r="BJ233" s="5">
        <v>0.16517586025359901</v>
      </c>
      <c r="BK233" s="5">
        <v>-0.35752292368044702</v>
      </c>
      <c r="BL233" s="5">
        <v>-8.7863730702287104E-2</v>
      </c>
      <c r="BM233" s="5">
        <v>5.4365705517533197E-2</v>
      </c>
      <c r="BN233" s="5">
        <v>7.3550236535108796E-2</v>
      </c>
      <c r="BO233" s="5">
        <v>-0.18776486729564701</v>
      </c>
      <c r="BP233" s="5">
        <v>0.14972084482641301</v>
      </c>
      <c r="BQ233" s="5">
        <v>-0.36211380470177601</v>
      </c>
      <c r="BR233" s="5">
        <v>-0.36778430701255999</v>
      </c>
      <c r="BS233" s="5">
        <v>0.53562719517984803</v>
      </c>
      <c r="BT233" s="5">
        <v>-0.325690803818733</v>
      </c>
      <c r="BU233" s="5">
        <v>0.56820047942072804</v>
      </c>
      <c r="BV233" s="5">
        <v>-0.298541345770307</v>
      </c>
      <c r="BW233" s="5">
        <v>0.47096079507215499</v>
      </c>
      <c r="BX233" s="5">
        <v>-0.30393197935749899</v>
      </c>
      <c r="BY233" s="5">
        <v>0.49915862659497601</v>
      </c>
      <c r="BZ233" s="5">
        <v>-0.427117359427511</v>
      </c>
      <c r="CA233" s="5">
        <v>0.58430579694599305</v>
      </c>
      <c r="CB233" s="5">
        <v>-0.211571412541116</v>
      </c>
      <c r="CC233" s="5">
        <v>0.37152524189383601</v>
      </c>
      <c r="CD233" s="5">
        <v>-0.10194405451352399</v>
      </c>
      <c r="CE233" s="5">
        <v>0.18973837765278501</v>
      </c>
      <c r="CF233" s="5">
        <v>-0.28665153721802999</v>
      </c>
      <c r="CG233" s="5">
        <v>0.381882222327316</v>
      </c>
      <c r="CH233" s="5">
        <v>8.9135480948685203E-2</v>
      </c>
      <c r="CI233" s="5">
        <v>-5.3593962050575802E-2</v>
      </c>
      <c r="CJ233" s="5">
        <v>1.18824991198702E-2</v>
      </c>
      <c r="CK233" s="5">
        <v>-2.70955314931519E-2</v>
      </c>
      <c r="CL233" s="5">
        <v>-3.0579075475005098E-2</v>
      </c>
      <c r="CM233" s="5">
        <v>-3.26717236904427E-3</v>
      </c>
      <c r="CN233" s="5">
        <v>-3.8389752707671601E-2</v>
      </c>
      <c r="CO233" s="5">
        <v>6.41218469353239E-3</v>
      </c>
      <c r="CP233" s="5">
        <v>-0.46872570477911601</v>
      </c>
      <c r="CQ233" s="5">
        <v>0.54543373422580699</v>
      </c>
      <c r="CR233" s="5">
        <v>-0.26221956616759801</v>
      </c>
      <c r="CS233" s="5">
        <v>0.33693865995407701</v>
      </c>
      <c r="CT233" s="5">
        <v>-6.0866241215504303E-2</v>
      </c>
      <c r="CU233" s="5">
        <v>4.73893239101933E-2</v>
      </c>
      <c r="CV233" s="5">
        <v>-0.31958731619791902</v>
      </c>
      <c r="CW233" s="5">
        <v>0.42726370353800802</v>
      </c>
      <c r="CX233" s="5">
        <v>-0.36999034407291698</v>
      </c>
      <c r="CY233" s="5">
        <v>0.50960988245086003</v>
      </c>
      <c r="CZ233" s="5">
        <v>-0.365796830822121</v>
      </c>
      <c r="DA233" s="5">
        <v>0.48502778355710002</v>
      </c>
      <c r="DB233" s="5">
        <v>-0.275454663109437</v>
      </c>
      <c r="DC233" s="5">
        <v>0.334973960212199</v>
      </c>
      <c r="DD233" s="5">
        <v>-0.43235447289899298</v>
      </c>
      <c r="DE233" s="5">
        <v>0.55718800988652994</v>
      </c>
      <c r="DF233" s="5">
        <v>-0.231909803816751</v>
      </c>
      <c r="DG233" s="5">
        <v>0.331666645687964</v>
      </c>
      <c r="DH233" s="5">
        <v>-0.12274137201805101</v>
      </c>
      <c r="DI233" s="5">
        <v>0.15181230672951901</v>
      </c>
      <c r="DJ233" s="5">
        <v>-8.3461643872199301E-2</v>
      </c>
      <c r="DK233" s="5">
        <v>3.9906448314393203E-2</v>
      </c>
      <c r="DL233" s="5">
        <v>-0.292855652024123</v>
      </c>
      <c r="DM233" s="5">
        <v>0.460544470968139</v>
      </c>
      <c r="DN233" s="5">
        <v>-2.2568452563984799E-2</v>
      </c>
      <c r="DO233" s="5">
        <v>-4.4047377889344E-2</v>
      </c>
      <c r="DP233" s="5">
        <v>5.4810972968820804E-3</v>
      </c>
      <c r="DQ233" s="5">
        <v>3.0251106776650601E-2</v>
      </c>
      <c r="DR233" s="5">
        <v>-5.6905557418968897E-2</v>
      </c>
      <c r="DS233" s="5">
        <v>5.1485628836941598E-2</v>
      </c>
      <c r="DT233" s="5">
        <v>-0.35007007074523899</v>
      </c>
      <c r="DU233" s="5">
        <v>0.42323260637372301</v>
      </c>
      <c r="DV233" s="5">
        <v>-0.33777291197290599</v>
      </c>
      <c r="DW233" s="5">
        <v>0.50072919696966001</v>
      </c>
      <c r="DX233" s="5">
        <v>-6.5235045430811406E-2</v>
      </c>
      <c r="DY233" s="5">
        <v>9.5821469356572597E-2</v>
      </c>
      <c r="DZ233" s="5">
        <v>-6.0751964023670203E-2</v>
      </c>
      <c r="EA233" s="5">
        <v>3.6604402463164799E-2</v>
      </c>
      <c r="EB233" s="5">
        <v>-0.40891279758303101</v>
      </c>
      <c r="EC233" s="5">
        <v>0.58596961454588503</v>
      </c>
      <c r="ED233" s="5">
        <v>-0.42500647578129203</v>
      </c>
      <c r="EE233" s="5">
        <v>0.57394606661609304</v>
      </c>
      <c r="EF233" s="5">
        <v>-0.26669762649526801</v>
      </c>
      <c r="EG233" s="5">
        <v>0.33240326260369801</v>
      </c>
      <c r="EH233" s="5">
        <v>-0.29590052959334201</v>
      </c>
      <c r="EI233" s="5">
        <v>0.46583218373401802</v>
      </c>
      <c r="EJ233" s="5">
        <v>-0.30657662123660601</v>
      </c>
      <c r="EK233" s="5">
        <v>0.471452529816896</v>
      </c>
      <c r="EL233" s="5">
        <v>-0.36871619518331</v>
      </c>
      <c r="EM233" s="5">
        <v>0.57898551538392296</v>
      </c>
      <c r="EN233" s="5">
        <v>-6.8704521684891898E-2</v>
      </c>
      <c r="EO233" s="5">
        <v>5.54195211114627E-2</v>
      </c>
      <c r="EP233" s="5">
        <v>-0.40152398027735597</v>
      </c>
      <c r="EQ233" s="5">
        <v>0.49652593558605201</v>
      </c>
      <c r="ER233" s="5">
        <v>-0.115475238064616</v>
      </c>
      <c r="ES233" s="5">
        <v>0.21716892061544099</v>
      </c>
      <c r="ET233" s="5">
        <v>-9.1105788061514204E-2</v>
      </c>
      <c r="EU233" s="5">
        <v>0.27455869598261301</v>
      </c>
      <c r="EV233" s="5">
        <v>-0.28606262500790097</v>
      </c>
      <c r="EW233" s="5">
        <v>0.47087002364927799</v>
      </c>
      <c r="EX233" s="5">
        <v>-0.206068025837673</v>
      </c>
      <c r="EY233" s="5">
        <v>0.43560548584273401</v>
      </c>
      <c r="EZ233" s="5">
        <v>-0.16144407142487599</v>
      </c>
      <c r="FA233" s="5">
        <v>0.302282588639602</v>
      </c>
      <c r="FB233" s="5">
        <v>-6.7260983824182205E-2</v>
      </c>
      <c r="FC233" s="5">
        <v>5.7840044176878901E-2</v>
      </c>
      <c r="FD233" s="5">
        <v>-0.18499851444864099</v>
      </c>
      <c r="FE233" s="5">
        <v>0.31028024346706201</v>
      </c>
      <c r="FF233" s="5">
        <v>-5.1096840510598297E-2</v>
      </c>
      <c r="FG233" s="5">
        <v>3.5646630715645798E-2</v>
      </c>
      <c r="FH233" s="5">
        <v>-0.16376459878389699</v>
      </c>
      <c r="FI233" s="5">
        <v>0.35043070535412202</v>
      </c>
      <c r="FJ233" s="5">
        <v>-0.41559798394042302</v>
      </c>
      <c r="FK233" s="5">
        <v>0.496170618069185</v>
      </c>
      <c r="FL233" s="5">
        <v>1.0679449058811E-2</v>
      </c>
      <c r="FM233" s="5">
        <v>1.6431300114215602E-2</v>
      </c>
      <c r="FN233" s="5">
        <v>-0.121921379777146</v>
      </c>
      <c r="FO233" s="5">
        <v>0.14649731987650799</v>
      </c>
      <c r="FP233" s="5">
        <v>-0.130899767472899</v>
      </c>
      <c r="FQ233" s="5">
        <v>0.152671864754892</v>
      </c>
      <c r="FR233" s="5">
        <v>0.41483173741876</v>
      </c>
      <c r="FS233" s="5">
        <v>-0.41436520532013799</v>
      </c>
      <c r="FT233" s="5">
        <v>-0.25031322800480899</v>
      </c>
      <c r="FU233" s="5">
        <v>0.28709264380201299</v>
      </c>
      <c r="FV233" s="5">
        <v>-9.3231523404053607E-2</v>
      </c>
      <c r="FW233" s="5">
        <v>0.12003406114249</v>
      </c>
      <c r="FX233" s="5">
        <v>-0.21761017348157599</v>
      </c>
      <c r="FY233" s="5">
        <v>0.30168952048056502</v>
      </c>
      <c r="FZ233" s="5">
        <v>-0.24373113767499099</v>
      </c>
      <c r="GA233" s="5">
        <v>0.28315930575438097</v>
      </c>
      <c r="GB233" s="5">
        <v>-7.3291858547457206E-2</v>
      </c>
      <c r="GC233" s="5">
        <v>5.8858735806285097E-2</v>
      </c>
      <c r="GD233" s="5">
        <v>2.3163827481444198E-2</v>
      </c>
      <c r="GE233" s="5">
        <v>-1.49348371875611E-2</v>
      </c>
      <c r="GF233" s="5">
        <v>-7.5753746038343006E-2</v>
      </c>
      <c r="GG233" s="5">
        <v>0.27542254215891898</v>
      </c>
      <c r="GH233" s="5">
        <v>0.42682424820075898</v>
      </c>
      <c r="GI233" s="5">
        <v>-0.54457441145262697</v>
      </c>
      <c r="GJ233" s="5">
        <v>-0.33127524034754902</v>
      </c>
      <c r="GK233" s="5">
        <v>0.55080469441845004</v>
      </c>
      <c r="GL233" s="5">
        <v>-0.38626108283785998</v>
      </c>
      <c r="GM233" s="5">
        <v>0.42857511230195799</v>
      </c>
      <c r="GN233" s="5">
        <v>-8.5459378672788799E-2</v>
      </c>
      <c r="GO233" s="5">
        <v>9.8877238316476504E-2</v>
      </c>
      <c r="GP233" s="5">
        <v>-0.218045088434833</v>
      </c>
      <c r="GQ233" s="5">
        <v>0.28913215378819002</v>
      </c>
      <c r="GR233" s="5">
        <v>-0.48168750087395301</v>
      </c>
      <c r="GS233" s="5">
        <v>0.72494911721350497</v>
      </c>
      <c r="GT233" s="5">
        <v>-0.13121989226553599</v>
      </c>
      <c r="GU233" s="5">
        <v>9.6420935287187898E-2</v>
      </c>
      <c r="GV233" s="5">
        <v>-0.28497189127634098</v>
      </c>
      <c r="GW233" s="5">
        <v>0.491167887246242</v>
      </c>
      <c r="GX233" s="5">
        <v>-0.34258285221371598</v>
      </c>
      <c r="GY233" s="5">
        <v>0.44701743359298102</v>
      </c>
      <c r="GZ233" s="5">
        <v>-7.3089164957391206E-2</v>
      </c>
      <c r="HA233" s="5">
        <v>3.1820695134059503E-2</v>
      </c>
      <c r="HB233" s="5">
        <v>-0.21853580012985399</v>
      </c>
      <c r="HC233" s="5">
        <v>0.40166218160622003</v>
      </c>
      <c r="HD233" s="5">
        <v>-6.3314968980530503E-2</v>
      </c>
      <c r="HE233" s="5">
        <v>3.9854102895831002E-2</v>
      </c>
      <c r="HF233" s="5">
        <v>-8.3780405025075305E-2</v>
      </c>
      <c r="HG233" s="5">
        <v>4.5620683434709597E-2</v>
      </c>
      <c r="HH233" s="5">
        <v>-3.9951945081393603E-2</v>
      </c>
      <c r="HI233" s="5">
        <v>1.8235304698037198E-2</v>
      </c>
      <c r="HJ233" s="5">
        <v>-7.63195430687197E-2</v>
      </c>
      <c r="HK233" s="5">
        <v>3.4804357946823399E-2</v>
      </c>
      <c r="HL233" s="5">
        <v>-0.27534104704293</v>
      </c>
      <c r="HM233" s="5">
        <v>0.38641823279124199</v>
      </c>
      <c r="HN233" s="5">
        <v>-4.4450331708623197E-2</v>
      </c>
      <c r="HO233" s="5">
        <v>2.5818550968225201E-2</v>
      </c>
      <c r="HP233" s="5">
        <v>-8.1107122553942299E-2</v>
      </c>
      <c r="HQ233" s="5">
        <v>0.26070940249330998</v>
      </c>
      <c r="HR233" s="5">
        <v>-0.201639282334029</v>
      </c>
      <c r="HS233" s="5">
        <v>0.38441126684480198</v>
      </c>
      <c r="HT233" s="5">
        <v>-4.9531988108966099E-2</v>
      </c>
      <c r="HU233" s="5">
        <v>2.25228078294561E-2</v>
      </c>
      <c r="HV233" s="5">
        <v>-0.32157850490515</v>
      </c>
      <c r="HW233" s="5">
        <v>0.480081628837976</v>
      </c>
      <c r="HX233" s="5">
        <v>-0.72817787413957502</v>
      </c>
      <c r="HY233" s="5">
        <v>1</v>
      </c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</row>
    <row r="234" spans="1:389" x14ac:dyDescent="0.45">
      <c r="A234" s="4" t="str">
        <f ca="1">"MNE / beta1dist in "&amp;CELL("address",'damages-1990'!$J$118)</f>
        <v>MNE / beta1dist in '[BHM betas v3pd.xlsx]damages-1990'!$J$118</v>
      </c>
      <c r="B234" s="6">
        <v>0.39873991530988501</v>
      </c>
      <c r="C234" s="5">
        <v>-0.23103509996107199</v>
      </c>
      <c r="D234" s="5">
        <v>0.20187105595699101</v>
      </c>
      <c r="E234" s="5">
        <v>-0.29042933893615103</v>
      </c>
      <c r="F234" s="5">
        <v>0.68661444770603397</v>
      </c>
      <c r="G234" s="5">
        <v>-0.58379913054522103</v>
      </c>
      <c r="H234" s="5">
        <v>0.578738459017896</v>
      </c>
      <c r="I234" s="5">
        <v>-0.37859219505352398</v>
      </c>
      <c r="J234" s="5">
        <v>-7.4974073141752695E-2</v>
      </c>
      <c r="K234" s="5">
        <v>-4.4620728595070998E-2</v>
      </c>
      <c r="L234" s="5">
        <v>0.21228378399487299</v>
      </c>
      <c r="M234" s="5">
        <v>-5.2380040873488E-2</v>
      </c>
      <c r="N234" s="5">
        <v>0.60313865349788698</v>
      </c>
      <c r="O234" s="5">
        <v>-0.38452947052290298</v>
      </c>
      <c r="P234" s="5">
        <v>0.161361914590889</v>
      </c>
      <c r="Q234" s="5">
        <v>-0.235491463526979</v>
      </c>
      <c r="R234" s="5">
        <v>1.1624234304242E-2</v>
      </c>
      <c r="S234" s="5">
        <v>-8.6868882792101698E-2</v>
      </c>
      <c r="T234" s="5">
        <v>0.80497726416102799</v>
      </c>
      <c r="U234" s="5">
        <v>-0.66210650877234101</v>
      </c>
      <c r="V234" s="5">
        <v>0.46074610571229502</v>
      </c>
      <c r="W234" s="5">
        <v>-0.34503721105759699</v>
      </c>
      <c r="X234" s="5">
        <v>0.23397668758727999</v>
      </c>
      <c r="Y234" s="5">
        <v>-0.28701241881515899</v>
      </c>
      <c r="Z234" s="5">
        <v>0.70030767975367203</v>
      </c>
      <c r="AA234" s="5">
        <v>-0.54458070391025104</v>
      </c>
      <c r="AB234" s="5">
        <v>5.4057456361092E-2</v>
      </c>
      <c r="AC234" s="5">
        <v>-0.10753903901732401</v>
      </c>
      <c r="AD234" s="5">
        <v>9.0197892331927196E-2</v>
      </c>
      <c r="AE234" s="5">
        <v>-0.122630386851868</v>
      </c>
      <c r="AF234" s="5">
        <v>-0.14393337933429601</v>
      </c>
      <c r="AG234" s="5">
        <v>5.02339202396683E-2</v>
      </c>
      <c r="AH234" s="5">
        <v>0.76244771322290195</v>
      </c>
      <c r="AI234" s="5">
        <v>-0.65834408185403603</v>
      </c>
      <c r="AJ234" s="5">
        <v>-0.107659016595121</v>
      </c>
      <c r="AK234" s="5">
        <v>-1.87196563824884E-2</v>
      </c>
      <c r="AL234" s="5">
        <v>-0.14205375382733401</v>
      </c>
      <c r="AM234" s="5">
        <v>0.11369876298305701</v>
      </c>
      <c r="AN234" s="5">
        <v>0.89815265176058601</v>
      </c>
      <c r="AO234" s="5">
        <v>-0.78710643946172598</v>
      </c>
      <c r="AP234" s="5">
        <v>0.56547834147918796</v>
      </c>
      <c r="AQ234" s="5">
        <v>-0.38172184649853302</v>
      </c>
      <c r="AR234" s="5">
        <v>-0.108140165999423</v>
      </c>
      <c r="AS234" s="5">
        <v>5.35044576753861E-2</v>
      </c>
      <c r="AT234" s="5">
        <v>-0.156425531744671</v>
      </c>
      <c r="AU234" s="5">
        <v>0.140872665327539</v>
      </c>
      <c r="AV234" s="5">
        <v>-8.4334178866990905E-2</v>
      </c>
      <c r="AW234" s="5">
        <v>1.1796701744881901E-2</v>
      </c>
      <c r="AX234" s="5">
        <v>-6.3851974405501499E-2</v>
      </c>
      <c r="AY234" s="5">
        <v>-0.112691188244872</v>
      </c>
      <c r="AZ234" s="5">
        <v>0.132714947181679</v>
      </c>
      <c r="BA234" s="5">
        <v>-0.18055225180193801</v>
      </c>
      <c r="BB234" s="5">
        <v>-5.77461452096572E-2</v>
      </c>
      <c r="BC234" s="5">
        <v>-5.65074348916587E-2</v>
      </c>
      <c r="BD234" s="5">
        <v>0.56412712369792795</v>
      </c>
      <c r="BE234" s="5">
        <v>-0.370959908648203</v>
      </c>
      <c r="BF234" s="5">
        <v>0.170354178094523</v>
      </c>
      <c r="BG234" s="5">
        <v>-0.26741401620093802</v>
      </c>
      <c r="BH234" s="5">
        <v>5.3379842186775703E-2</v>
      </c>
      <c r="BI234" s="5">
        <v>-0.123630815482239</v>
      </c>
      <c r="BJ234" s="5">
        <v>0.50839979943978797</v>
      </c>
      <c r="BK234" s="5">
        <v>-0.23047967928777899</v>
      </c>
      <c r="BL234" s="5">
        <v>0.74855302221585196</v>
      </c>
      <c r="BM234" s="5">
        <v>-0.59371822741214997</v>
      </c>
      <c r="BN234" s="5">
        <v>0.44753462544369699</v>
      </c>
      <c r="BO234" s="5">
        <v>-0.12973525169393599</v>
      </c>
      <c r="BP234" s="5">
        <v>0.59194511083797297</v>
      </c>
      <c r="BQ234" s="5">
        <v>-0.31774058269161598</v>
      </c>
      <c r="BR234" s="5">
        <v>0.13010503008648699</v>
      </c>
      <c r="BS234" s="5">
        <v>-0.16178891897916001</v>
      </c>
      <c r="BT234" s="5">
        <v>-9.1891013754956796E-3</v>
      </c>
      <c r="BU234" s="5">
        <v>-5.9626262508387901E-2</v>
      </c>
      <c r="BV234" s="5">
        <v>7.7150706253587206E-2</v>
      </c>
      <c r="BW234" s="5">
        <v>-0.180453044777525</v>
      </c>
      <c r="BX234" s="5">
        <v>2.5014966800836098E-2</v>
      </c>
      <c r="BY234" s="5">
        <v>-0.104377585390654</v>
      </c>
      <c r="BZ234" s="5">
        <v>-2.7293687074961701E-2</v>
      </c>
      <c r="CA234" s="5">
        <v>-0.109616946695238</v>
      </c>
      <c r="CB234" s="5">
        <v>-2.42634102759955E-2</v>
      </c>
      <c r="CC234" s="5">
        <v>-3.2160102986860999E-2</v>
      </c>
      <c r="CD234" s="5">
        <v>0.116037159290258</v>
      </c>
      <c r="CE234" s="5">
        <v>-0.165820696291377</v>
      </c>
      <c r="CF234" s="5">
        <v>6.6150938046959096E-2</v>
      </c>
      <c r="CG234" s="5">
        <v>-0.121506808918762</v>
      </c>
      <c r="CH234" s="5">
        <v>-0.109857332698664</v>
      </c>
      <c r="CI234" s="5">
        <v>8.4346820218062807E-2</v>
      </c>
      <c r="CJ234" s="5">
        <v>-0.136791672098969</v>
      </c>
      <c r="CK234" s="5">
        <v>0.188740155961058</v>
      </c>
      <c r="CL234" s="5">
        <v>0.80570678765710002</v>
      </c>
      <c r="CM234" s="5">
        <v>-0.66469670855586105</v>
      </c>
      <c r="CN234" s="5">
        <v>0.76015068589851797</v>
      </c>
      <c r="CO234" s="5">
        <v>-0.61427975913783095</v>
      </c>
      <c r="CP234" s="5">
        <v>8.8475179079116506E-2</v>
      </c>
      <c r="CQ234" s="5">
        <v>-0.120573610868747</v>
      </c>
      <c r="CR234" s="5">
        <v>0.18629894685874401</v>
      </c>
      <c r="CS234" s="5">
        <v>-0.219128905384329</v>
      </c>
      <c r="CT234" s="5">
        <v>0.60132000233585203</v>
      </c>
      <c r="CU234" s="5">
        <v>-0.44068547052585599</v>
      </c>
      <c r="CV234" s="5">
        <v>0.174455127270844</v>
      </c>
      <c r="CW234" s="5">
        <v>-0.225817510022293</v>
      </c>
      <c r="CX234" s="5">
        <v>-0.13924265755450199</v>
      </c>
      <c r="CY234" s="5">
        <v>8.7046314454283194E-2</v>
      </c>
      <c r="CZ234" s="5">
        <v>5.6311904571370697E-2</v>
      </c>
      <c r="DA234" s="5">
        <v>-0.16592455343906401</v>
      </c>
      <c r="DB234" s="5">
        <v>-0.13592729799390499</v>
      </c>
      <c r="DC234" s="5">
        <v>8.3033923226079401E-2</v>
      </c>
      <c r="DD234" s="5">
        <v>0.13190570768362</v>
      </c>
      <c r="DE234" s="5">
        <v>-0.15653102651026601</v>
      </c>
      <c r="DF234" s="5">
        <v>1.06817010434875E-2</v>
      </c>
      <c r="DG234" s="5">
        <v>-5.9475192072883598E-2</v>
      </c>
      <c r="DH234" s="5">
        <v>0.39410613461352201</v>
      </c>
      <c r="DI234" s="5">
        <v>-0.26807956709379699</v>
      </c>
      <c r="DJ234" s="5">
        <v>0.45907172996173901</v>
      </c>
      <c r="DK234" s="5">
        <v>-0.29102586783711998</v>
      </c>
      <c r="DL234" s="5">
        <v>0.17424071347862899</v>
      </c>
      <c r="DM234" s="5">
        <v>-0.18587147324996101</v>
      </c>
      <c r="DN234" s="5">
        <v>0.41640089689724702</v>
      </c>
      <c r="DO234" s="5">
        <v>-0.23777433396694</v>
      </c>
      <c r="DP234" s="5">
        <v>-7.5249703035191906E-2</v>
      </c>
      <c r="DQ234" s="5">
        <v>7.6910959625643302E-2</v>
      </c>
      <c r="DR234" s="5">
        <v>0.67123014181028895</v>
      </c>
      <c r="DS234" s="5">
        <v>-0.54433079032059695</v>
      </c>
      <c r="DT234" s="5">
        <v>-0.112609244285013</v>
      </c>
      <c r="DU234" s="5">
        <v>7.9363714697689505E-2</v>
      </c>
      <c r="DV234" s="5">
        <v>0.103238907241721</v>
      </c>
      <c r="DW234" s="5">
        <v>-0.17404597818255699</v>
      </c>
      <c r="DX234" s="5">
        <v>0.54413525787692596</v>
      </c>
      <c r="DY234" s="5">
        <v>-0.32181517763799899</v>
      </c>
      <c r="DZ234" s="5">
        <v>0.62433050220530895</v>
      </c>
      <c r="EA234" s="5">
        <v>-0.42160402529318702</v>
      </c>
      <c r="EB234" s="5">
        <v>6.1198511495539502E-2</v>
      </c>
      <c r="EC234" s="5">
        <v>-0.118742941413456</v>
      </c>
      <c r="ED234" s="5">
        <v>9.90626906536516E-2</v>
      </c>
      <c r="EE234" s="5">
        <v>-0.155621612570325</v>
      </c>
      <c r="EF234" s="5">
        <v>0.19467290623858999</v>
      </c>
      <c r="EG234" s="5">
        <v>-0.239333139752819</v>
      </c>
      <c r="EH234" s="5">
        <v>0.12382354522872401</v>
      </c>
      <c r="EI234" s="5">
        <v>-0.195463713575522</v>
      </c>
      <c r="EJ234" s="5">
        <v>0.14398845460745699</v>
      </c>
      <c r="EK234" s="5">
        <v>-0.22381115120473399</v>
      </c>
      <c r="EL234" s="5">
        <v>-2.5379646775811199E-2</v>
      </c>
      <c r="EM234" s="5">
        <v>-1.2727039727332299E-2</v>
      </c>
      <c r="EN234" s="5">
        <v>0.16859157765028199</v>
      </c>
      <c r="EO234" s="5">
        <v>-2.4853726487386402E-2</v>
      </c>
      <c r="EP234" s="5">
        <v>0.16036205684827501</v>
      </c>
      <c r="EQ234" s="5">
        <v>-0.21939695810061299</v>
      </c>
      <c r="ER234" s="5">
        <v>-3.5923248748202498E-2</v>
      </c>
      <c r="ES234" s="5">
        <v>-4.1218070772606301E-2</v>
      </c>
      <c r="ET234" s="5">
        <v>5.6722661451010903E-2</v>
      </c>
      <c r="EU234" s="5">
        <v>-0.1926795711075</v>
      </c>
      <c r="EV234" s="5">
        <v>-6.2556844756606098E-2</v>
      </c>
      <c r="EW234" s="5">
        <v>-7.8436838220141497E-2</v>
      </c>
      <c r="EX234" s="5">
        <v>-3.6652054090156198E-2</v>
      </c>
      <c r="EY234" s="5">
        <v>-5.2085129728595199E-2</v>
      </c>
      <c r="EZ234" s="5">
        <v>-4.8417868449490899E-2</v>
      </c>
      <c r="FA234" s="5">
        <v>-7.4323821867313998E-3</v>
      </c>
      <c r="FB234" s="5">
        <v>0.77676222627936797</v>
      </c>
      <c r="FC234" s="5">
        <v>-0.69304949895571299</v>
      </c>
      <c r="FD234" s="5">
        <v>0.11197391987662</v>
      </c>
      <c r="FE234" s="5">
        <v>-0.16724108931622</v>
      </c>
      <c r="FF234" s="5">
        <v>0.80782994989777201</v>
      </c>
      <c r="FG234" s="5">
        <v>-0.70043323732998897</v>
      </c>
      <c r="FH234" s="5">
        <v>-0.182538768630961</v>
      </c>
      <c r="FI234" s="5">
        <v>0.22547496677918499</v>
      </c>
      <c r="FJ234" s="5">
        <v>7.2980303682640094E-2</v>
      </c>
      <c r="FK234" s="5">
        <v>-0.16657913450126799</v>
      </c>
      <c r="FL234" s="5">
        <v>0.39085002871889002</v>
      </c>
      <c r="FM234" s="5">
        <v>-0.103982490145848</v>
      </c>
      <c r="FN234" s="5">
        <v>0.138789371830398</v>
      </c>
      <c r="FO234" s="5">
        <v>-8.2552083865699399E-2</v>
      </c>
      <c r="FP234" s="5">
        <v>-0.128049384272195</v>
      </c>
      <c r="FQ234" s="5">
        <v>0.11554762209102</v>
      </c>
      <c r="FR234" s="5">
        <v>0.120220013905559</v>
      </c>
      <c r="FS234" s="5">
        <v>0.22191031656083801</v>
      </c>
      <c r="FT234" s="5">
        <v>-9.9300918118538195E-2</v>
      </c>
      <c r="FU234" s="5">
        <v>0.117338070406051</v>
      </c>
      <c r="FV234" s="5">
        <v>0.591348376896357</v>
      </c>
      <c r="FW234" s="5">
        <v>-0.516267237267513</v>
      </c>
      <c r="FX234" s="5">
        <v>2.9267099309200701E-2</v>
      </c>
      <c r="FY234" s="5">
        <v>-8.7549410912851594E-2</v>
      </c>
      <c r="FZ234" s="5">
        <v>-3.1711263831662E-2</v>
      </c>
      <c r="GA234" s="5">
        <v>5.2783518015617897E-2</v>
      </c>
      <c r="GB234" s="5">
        <v>0.67376926755476196</v>
      </c>
      <c r="GC234" s="5">
        <v>-0.55954722542468505</v>
      </c>
      <c r="GD234" s="5">
        <v>0.52362085741233</v>
      </c>
      <c r="GE234" s="5">
        <v>-0.29975672444954599</v>
      </c>
      <c r="GF234" s="5">
        <v>7.5509519781911005E-2</v>
      </c>
      <c r="GG234" s="5">
        <v>-0.16683225170140401</v>
      </c>
      <c r="GH234" s="5">
        <v>0.36433988031867698</v>
      </c>
      <c r="GI234" s="5">
        <v>-3.4369156839453498E-2</v>
      </c>
      <c r="GJ234" s="5">
        <v>-0.121496686695041</v>
      </c>
      <c r="GK234" s="5">
        <v>3.9351723202870698E-2</v>
      </c>
      <c r="GL234" s="5">
        <v>0.19201625797352601</v>
      </c>
      <c r="GM234" s="5">
        <v>-0.24954006313437899</v>
      </c>
      <c r="GN234" s="5">
        <v>0.61284535708792098</v>
      </c>
      <c r="GO234" s="5">
        <v>-0.51417286352774705</v>
      </c>
      <c r="GP234" s="5">
        <v>-0.113324852905601</v>
      </c>
      <c r="GQ234" s="5">
        <v>2.5324359899805599E-2</v>
      </c>
      <c r="GR234" s="5">
        <v>-4.65080865011172E-2</v>
      </c>
      <c r="GS234" s="5">
        <v>5.7402076793815699E-3</v>
      </c>
      <c r="GT234" s="5">
        <v>0.160754342615955</v>
      </c>
      <c r="GU234" s="5">
        <v>2.20077162802989E-3</v>
      </c>
      <c r="GV234" s="5">
        <v>0.16203590909128401</v>
      </c>
      <c r="GW234" s="5">
        <v>-0.224727144760271</v>
      </c>
      <c r="GX234" s="5">
        <v>-0.17307177360531301</v>
      </c>
      <c r="GY234" s="5">
        <v>0.138790469447165</v>
      </c>
      <c r="GZ234" s="5">
        <v>0.76230102914222597</v>
      </c>
      <c r="HA234" s="5">
        <v>-0.61770246547405705</v>
      </c>
      <c r="HB234" s="5">
        <v>5.37911098717739E-2</v>
      </c>
      <c r="HC234" s="5">
        <v>-0.18467002232139701</v>
      </c>
      <c r="HD234" s="5">
        <v>0.372490602726057</v>
      </c>
      <c r="HE234" s="5">
        <v>-8.9926602844578707E-2</v>
      </c>
      <c r="HF234" s="5">
        <v>0.55320258052723703</v>
      </c>
      <c r="HG234" s="5">
        <v>-0.37914834973526101</v>
      </c>
      <c r="HH234" s="5">
        <v>0.73551993750120703</v>
      </c>
      <c r="HI234" s="5">
        <v>-0.58746554372839599</v>
      </c>
      <c r="HJ234" s="5">
        <v>0.50623773931587401</v>
      </c>
      <c r="HK234" s="5">
        <v>-0.33905055677615398</v>
      </c>
      <c r="HL234" s="5">
        <v>0.114880924621098</v>
      </c>
      <c r="HM234" s="5">
        <v>-7.5987009780162998E-2</v>
      </c>
      <c r="HN234" s="5">
        <v>0.72397634389761201</v>
      </c>
      <c r="HO234" s="5">
        <v>-0.59121882307929496</v>
      </c>
      <c r="HP234" s="5">
        <v>3.1397148723428303E-2</v>
      </c>
      <c r="HQ234" s="5">
        <v>-9.5241804970887703E-2</v>
      </c>
      <c r="HR234" s="5">
        <v>-2.4656978182212502E-2</v>
      </c>
      <c r="HS234" s="5">
        <v>-1.31861768103647E-2</v>
      </c>
      <c r="HT234" s="5">
        <v>0.82452876335454295</v>
      </c>
      <c r="HU234" s="5">
        <v>-0.70934287222438397</v>
      </c>
      <c r="HV234" s="5">
        <v>-4.1644892626062503E-2</v>
      </c>
      <c r="HW234" s="5">
        <v>-7.3342537819445696E-3</v>
      </c>
      <c r="HX234" s="5">
        <v>-4.7126415836745802E-2</v>
      </c>
      <c r="HY234" s="5">
        <v>-5.0465811125522302E-3</v>
      </c>
      <c r="HZ234" s="5">
        <v>1</v>
      </c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</row>
    <row r="235" spans="1:389" x14ac:dyDescent="0.45">
      <c r="A235" s="4" t="str">
        <f ca="1">"MNE / beta2dist in "&amp;CELL("address",'damages-1990'!$K$118)</f>
        <v>MNE / beta2dist in '[BHM betas v3pd.xlsx]damages-1990'!$K$118</v>
      </c>
      <c r="B235" s="6">
        <v>-8.9266271914413498E-2</v>
      </c>
      <c r="C235" s="5">
        <v>0.13966539987254001</v>
      </c>
      <c r="D235" s="5">
        <v>-0.143299397430727</v>
      </c>
      <c r="E235" s="5">
        <v>0.341720975283067</v>
      </c>
      <c r="F235" s="5">
        <v>-0.448925631268768</v>
      </c>
      <c r="G235" s="5">
        <v>0.58763747586085602</v>
      </c>
      <c r="H235" s="5">
        <v>-0.46884874119203102</v>
      </c>
      <c r="I235" s="5">
        <v>0.42777422827198103</v>
      </c>
      <c r="J235" s="5">
        <v>0.159622804181691</v>
      </c>
      <c r="K235" s="5">
        <v>3.86166327321667E-2</v>
      </c>
      <c r="L235" s="5">
        <v>4.2037895373133898E-2</v>
      </c>
      <c r="M235" s="5">
        <v>-1.5729774113770901E-2</v>
      </c>
      <c r="N235" s="5">
        <v>-0.42478128149512001</v>
      </c>
      <c r="O235" s="5">
        <v>0.428832563648815</v>
      </c>
      <c r="P235" s="5">
        <v>-0.19872699136286801</v>
      </c>
      <c r="Q235" s="5">
        <v>0.32397167145160899</v>
      </c>
      <c r="R235" s="5">
        <v>0.13578448658253001</v>
      </c>
      <c r="S235" s="5">
        <v>5.51185971250664E-2</v>
      </c>
      <c r="T235" s="5">
        <v>-0.74694260161882997</v>
      </c>
      <c r="U235" s="5">
        <v>0.791576680139774</v>
      </c>
      <c r="V235" s="5">
        <v>-0.16484356255459201</v>
      </c>
      <c r="W235" s="5">
        <v>0.27529246329343199</v>
      </c>
      <c r="X235" s="5">
        <v>-0.159204122591901</v>
      </c>
      <c r="Y235" s="5">
        <v>0.335673174360897</v>
      </c>
      <c r="Z235" s="5">
        <v>-0.51555462292769905</v>
      </c>
      <c r="AA235" s="5">
        <v>0.58155889095980595</v>
      </c>
      <c r="AB235" s="5">
        <v>-3.3680310582916199E-2</v>
      </c>
      <c r="AC235" s="5">
        <v>0.13534245079717799</v>
      </c>
      <c r="AD235" s="5">
        <v>-5.5818831769759901E-2</v>
      </c>
      <c r="AE235" s="5">
        <v>0.14582107456162199</v>
      </c>
      <c r="AF235" s="5">
        <v>0.21699813339986801</v>
      </c>
      <c r="AG235" s="5">
        <v>-5.1829902877433803E-2</v>
      </c>
      <c r="AH235" s="5">
        <v>-0.56098490978092297</v>
      </c>
      <c r="AI235" s="5">
        <v>0.70637927158930702</v>
      </c>
      <c r="AJ235" s="5">
        <v>0.19267026219233099</v>
      </c>
      <c r="AK235" s="5">
        <v>3.2142938320331299E-3</v>
      </c>
      <c r="AL235" s="5">
        <v>0.21932443654223299</v>
      </c>
      <c r="AM235" s="5">
        <v>-0.154769303039589</v>
      </c>
      <c r="AN235" s="5">
        <v>-0.75071273330060895</v>
      </c>
      <c r="AO235" s="5">
        <v>0.89177721706036694</v>
      </c>
      <c r="AP235" s="5">
        <v>-0.43052769499115701</v>
      </c>
      <c r="AQ235" s="5">
        <v>0.41307360809709898</v>
      </c>
      <c r="AR235" s="5">
        <v>0.16384340219391499</v>
      </c>
      <c r="AS235" s="5">
        <v>-4.56892162751582E-2</v>
      </c>
      <c r="AT235" s="5">
        <v>0.26102602083448601</v>
      </c>
      <c r="AU235" s="5">
        <v>-0.211961733297302</v>
      </c>
      <c r="AV235" s="5">
        <v>0.223000429217594</v>
      </c>
      <c r="AW235" s="5">
        <v>-4.8397267287479402E-2</v>
      </c>
      <c r="AX235" s="5">
        <v>0.13756697721557201</v>
      </c>
      <c r="AY235" s="5">
        <v>0.13211925049659101</v>
      </c>
      <c r="AZ235" s="5">
        <v>-0.15772226993289901</v>
      </c>
      <c r="BA235" s="5">
        <v>0.25006386364430599</v>
      </c>
      <c r="BB235" s="5">
        <v>0.126547387827742</v>
      </c>
      <c r="BC235" s="5">
        <v>7.8201108988964096E-2</v>
      </c>
      <c r="BD235" s="5">
        <v>-0.26452998437591702</v>
      </c>
      <c r="BE235" s="5">
        <v>0.30782993699935202</v>
      </c>
      <c r="BF235" s="5">
        <v>-0.161206262380128</v>
      </c>
      <c r="BG235" s="5">
        <v>0.350736261903833</v>
      </c>
      <c r="BH235" s="5">
        <v>-4.9755745298918396E-3</v>
      </c>
      <c r="BI235" s="5">
        <v>0.15891706132556299</v>
      </c>
      <c r="BJ235" s="5">
        <v>-0.46745220829650502</v>
      </c>
      <c r="BK235" s="5">
        <v>0.30950500762435001</v>
      </c>
      <c r="BL235" s="5">
        <v>-0.679889334230937</v>
      </c>
      <c r="BM235" s="5">
        <v>0.70685353771545301</v>
      </c>
      <c r="BN235" s="5">
        <v>-0.204595124758958</v>
      </c>
      <c r="BO235" s="5">
        <v>0.109817213132981</v>
      </c>
      <c r="BP235" s="5">
        <v>-0.31729968864969998</v>
      </c>
      <c r="BQ235" s="5">
        <v>0.23389706562023299</v>
      </c>
      <c r="BR235" s="5">
        <v>-0.11479886432726701</v>
      </c>
      <c r="BS235" s="5">
        <v>0.20841150299309899</v>
      </c>
      <c r="BT235" s="5">
        <v>8.5599330183928901E-2</v>
      </c>
      <c r="BU235" s="5">
        <v>7.4553703279202105E-2</v>
      </c>
      <c r="BV235" s="5">
        <v>-1.7603316274531499E-2</v>
      </c>
      <c r="BW235" s="5">
        <v>0.21110222109635099</v>
      </c>
      <c r="BX235" s="5">
        <v>2.74317594426625E-2</v>
      </c>
      <c r="BY235" s="5">
        <v>0.125834810964221</v>
      </c>
      <c r="BZ235" s="5">
        <v>8.4587308686253193E-2</v>
      </c>
      <c r="CA235" s="5">
        <v>0.13074666598611001</v>
      </c>
      <c r="CB235" s="5">
        <v>7.2704239721058495E-2</v>
      </c>
      <c r="CC235" s="5">
        <v>4.4443313202852198E-2</v>
      </c>
      <c r="CD235" s="5">
        <v>-3.1760405447701298E-2</v>
      </c>
      <c r="CE235" s="5">
        <v>0.148890723647947</v>
      </c>
      <c r="CF235" s="5">
        <v>-5.0402221832572799E-2</v>
      </c>
      <c r="CG235" s="5">
        <v>0.15201349342508599</v>
      </c>
      <c r="CH235" s="5">
        <v>0.16335755019183501</v>
      </c>
      <c r="CI235" s="5">
        <v>-9.9680889139852E-2</v>
      </c>
      <c r="CJ235" s="5">
        <v>0.31753781752002902</v>
      </c>
      <c r="CK235" s="5">
        <v>-0.27278499733115003</v>
      </c>
      <c r="CL235" s="5">
        <v>-0.70380249805994499</v>
      </c>
      <c r="CM235" s="5">
        <v>0.77178901712589998</v>
      </c>
      <c r="CN235" s="5">
        <v>-0.60672778201842303</v>
      </c>
      <c r="CO235" s="5">
        <v>0.68088074416773303</v>
      </c>
      <c r="CP235" s="5">
        <v>-6.9920050490308902E-2</v>
      </c>
      <c r="CQ235" s="5">
        <v>0.13714613488963201</v>
      </c>
      <c r="CR235" s="5">
        <v>-0.20559205330573399</v>
      </c>
      <c r="CS235" s="5">
        <v>0.30881668789657102</v>
      </c>
      <c r="CT235" s="5">
        <v>-0.49131568661545899</v>
      </c>
      <c r="CU235" s="5">
        <v>0.49443759964351602</v>
      </c>
      <c r="CV235" s="5">
        <v>-0.17233975366468601</v>
      </c>
      <c r="CW235" s="5">
        <v>0.28513725347977498</v>
      </c>
      <c r="CX235" s="5">
        <v>0.273676427448721</v>
      </c>
      <c r="CY235" s="5">
        <v>-0.13386020921578901</v>
      </c>
      <c r="CZ235" s="5">
        <v>-1.59400347204976E-3</v>
      </c>
      <c r="DA235" s="5">
        <v>0.20659495901239799</v>
      </c>
      <c r="DB235" s="5">
        <v>0.28155525512104002</v>
      </c>
      <c r="DC235" s="5">
        <v>-0.13808382179359499</v>
      </c>
      <c r="DD235" s="5">
        <v>-9.8098909660134695E-2</v>
      </c>
      <c r="DE235" s="5">
        <v>0.176951319069903</v>
      </c>
      <c r="DF235" s="5">
        <v>0.112014742391314</v>
      </c>
      <c r="DG235" s="5">
        <v>1.1610742391199099E-2</v>
      </c>
      <c r="DH235" s="5">
        <v>-9.9568079868370393E-2</v>
      </c>
      <c r="DI235" s="5">
        <v>0.18051536261793599</v>
      </c>
      <c r="DJ235" s="5">
        <v>-0.342047884142335</v>
      </c>
      <c r="DK235" s="5">
        <v>0.31929929461599499</v>
      </c>
      <c r="DL235" s="5">
        <v>-0.114983342694653</v>
      </c>
      <c r="DM235" s="5">
        <v>0.22193587105776699</v>
      </c>
      <c r="DN235" s="5">
        <v>-0.31680739145086401</v>
      </c>
      <c r="DO235" s="5">
        <v>0.27161427008274702</v>
      </c>
      <c r="DP235" s="5">
        <v>0.188161107978113</v>
      </c>
      <c r="DQ235" s="5">
        <v>-0.107337130211868</v>
      </c>
      <c r="DR235" s="5">
        <v>-0.42487117033328298</v>
      </c>
      <c r="DS235" s="5">
        <v>0.53578968152366102</v>
      </c>
      <c r="DT235" s="5">
        <v>0.143998487756372</v>
      </c>
      <c r="DU235" s="5">
        <v>-8.1093889481456502E-2</v>
      </c>
      <c r="DV235" s="5">
        <v>-7.3862245761435297E-2</v>
      </c>
      <c r="DW235" s="5">
        <v>0.20375472777982301</v>
      </c>
      <c r="DX235" s="5">
        <v>-0.34515597266425702</v>
      </c>
      <c r="DY235" s="5">
        <v>0.29472738925412001</v>
      </c>
      <c r="DZ235" s="5">
        <v>-0.42272458703640198</v>
      </c>
      <c r="EA235" s="5">
        <v>0.45560600605406998</v>
      </c>
      <c r="EB235" s="5">
        <v>-3.17368706447392E-2</v>
      </c>
      <c r="EC235" s="5">
        <v>0.14756895632321099</v>
      </c>
      <c r="ED235" s="5">
        <v>-5.1839780556676401E-2</v>
      </c>
      <c r="EE235" s="5">
        <v>0.19049764354109799</v>
      </c>
      <c r="EF235" s="5">
        <v>-0.230035810032511</v>
      </c>
      <c r="EG235" s="5">
        <v>0.33397572293480798</v>
      </c>
      <c r="EH235" s="5">
        <v>-6.9112090261223405E-2</v>
      </c>
      <c r="EI235" s="5">
        <v>0.21757784044374401</v>
      </c>
      <c r="EJ235" s="5">
        <v>-9.1160473242341902E-2</v>
      </c>
      <c r="EK235" s="5">
        <v>0.25727481869901497</v>
      </c>
      <c r="EL235" s="5">
        <v>0.10876951735851</v>
      </c>
      <c r="EM235" s="5">
        <v>2.00293382403071E-4</v>
      </c>
      <c r="EN235" s="5">
        <v>8.9181386628880296E-2</v>
      </c>
      <c r="EO235" s="5">
        <v>-5.6591109072287503E-2</v>
      </c>
      <c r="EP235" s="5">
        <v>-0.19199590291606</v>
      </c>
      <c r="EQ235" s="5">
        <v>0.29984832960808799</v>
      </c>
      <c r="ER235" s="5">
        <v>0.119683079949972</v>
      </c>
      <c r="ES235" s="5">
        <v>5.3176125718329803E-2</v>
      </c>
      <c r="ET235" s="5">
        <v>-3.9529690597357899E-2</v>
      </c>
      <c r="EU235" s="5">
        <v>0.24657587990504501</v>
      </c>
      <c r="EV235" s="5">
        <v>0.108799169403187</v>
      </c>
      <c r="EW235" s="5">
        <v>9.5496442875292006E-2</v>
      </c>
      <c r="EX235" s="5">
        <v>0.12868624819628</v>
      </c>
      <c r="EY235" s="5">
        <v>3.86740570013933E-2</v>
      </c>
      <c r="EZ235" s="5">
        <v>0.11941535152739401</v>
      </c>
      <c r="FA235" s="5">
        <v>1.8891140229224699E-2</v>
      </c>
      <c r="FB235" s="5">
        <v>-0.57154799490491004</v>
      </c>
      <c r="FC235" s="5">
        <v>0.73699456738069502</v>
      </c>
      <c r="FD235" s="5">
        <v>-8.3650341461109001E-2</v>
      </c>
      <c r="FE235" s="5">
        <v>0.20164517580550201</v>
      </c>
      <c r="FF235" s="5">
        <v>-0.62783722301769596</v>
      </c>
      <c r="FG235" s="5">
        <v>0.76418617598659599</v>
      </c>
      <c r="FH235" s="5">
        <v>0.29152008230618798</v>
      </c>
      <c r="FI235" s="5">
        <v>-0.29873008464665002</v>
      </c>
      <c r="FJ235" s="5">
        <v>2.9970721773489899E-2</v>
      </c>
      <c r="FK235" s="5">
        <v>0.16983455828748401</v>
      </c>
      <c r="FL235" s="5">
        <v>-0.14468622575705201</v>
      </c>
      <c r="FM235" s="5">
        <v>3.0991278023814201E-2</v>
      </c>
      <c r="FN235" s="5">
        <v>7.2920445535494094E-2</v>
      </c>
      <c r="FO235" s="5">
        <v>3.3405795336878999E-2</v>
      </c>
      <c r="FP235" s="5">
        <v>0.265804433249553</v>
      </c>
      <c r="FQ235" s="5">
        <v>-0.16590585426176399</v>
      </c>
      <c r="FR235" s="5">
        <v>6.9357359972204097E-3</v>
      </c>
      <c r="FS235" s="5">
        <v>-0.27237954489646399</v>
      </c>
      <c r="FT235" s="5">
        <v>0.288637020964015</v>
      </c>
      <c r="FU235" s="5">
        <v>-0.19676552646327</v>
      </c>
      <c r="FV235" s="5">
        <v>-0.31603400444101598</v>
      </c>
      <c r="FW235" s="5">
        <v>0.45918774703283699</v>
      </c>
      <c r="FX235" s="5">
        <v>1.43853068873712E-2</v>
      </c>
      <c r="FY235" s="5">
        <v>0.11162649870015599</v>
      </c>
      <c r="FZ235" s="5">
        <v>0.23178201069573101</v>
      </c>
      <c r="GA235" s="5">
        <v>-0.12776393562566399</v>
      </c>
      <c r="GB235" s="5">
        <v>-0.40251083636053298</v>
      </c>
      <c r="GC235" s="5">
        <v>0.52683227801809795</v>
      </c>
      <c r="GD235" s="5">
        <v>-0.38918409863309</v>
      </c>
      <c r="GE235" s="5">
        <v>0.33688961374748499</v>
      </c>
      <c r="GF235" s="5">
        <v>-2.1679985036194799E-3</v>
      </c>
      <c r="GG235" s="5">
        <v>0.187705431346187</v>
      </c>
      <c r="GH235" s="5">
        <v>-0.21911112082681999</v>
      </c>
      <c r="GI235" s="5">
        <v>1.9076236791828401E-2</v>
      </c>
      <c r="GJ235" s="5">
        <v>0.18382696881199301</v>
      </c>
      <c r="GK235" s="5">
        <v>-5.5495737762709801E-2</v>
      </c>
      <c r="GL235" s="5">
        <v>-0.233491955372503</v>
      </c>
      <c r="GM235" s="5">
        <v>0.34221562250689902</v>
      </c>
      <c r="GN235" s="5">
        <v>-0.30194312777695798</v>
      </c>
      <c r="GO235" s="5">
        <v>0.41710128574131</v>
      </c>
      <c r="GP235" s="5">
        <v>0.20818222024892</v>
      </c>
      <c r="GQ235" s="5">
        <v>-5.0452893187491903E-2</v>
      </c>
      <c r="GR235" s="5">
        <v>0.154145882028944</v>
      </c>
      <c r="GS235" s="5">
        <v>-4.1858146811669397E-2</v>
      </c>
      <c r="GT235" s="5">
        <v>9.1911133515540103E-2</v>
      </c>
      <c r="GU235" s="5">
        <v>-7.5779496757654399E-2</v>
      </c>
      <c r="GV235" s="5">
        <v>-0.138833204728945</v>
      </c>
      <c r="GW235" s="5">
        <v>0.274643725387691</v>
      </c>
      <c r="GX235" s="5">
        <v>0.303038273762263</v>
      </c>
      <c r="GY235" s="5">
        <v>-0.192877487438046</v>
      </c>
      <c r="GZ235" s="5">
        <v>-0.70487886542258704</v>
      </c>
      <c r="HA235" s="5">
        <v>0.73772052598990301</v>
      </c>
      <c r="HB235" s="5">
        <v>-8.0229487251226601E-3</v>
      </c>
      <c r="HC235" s="5">
        <v>0.220495598501218</v>
      </c>
      <c r="HD235" s="5">
        <v>-3.4231453404492899E-2</v>
      </c>
      <c r="HE235" s="5">
        <v>-1.2314557022596199E-2</v>
      </c>
      <c r="HF235" s="5">
        <v>-0.427989523801731</v>
      </c>
      <c r="HG235" s="5">
        <v>0.41406481363421099</v>
      </c>
      <c r="HH235" s="5">
        <v>-0.55646735487500298</v>
      </c>
      <c r="HI235" s="5">
        <v>0.62966554106612105</v>
      </c>
      <c r="HJ235" s="5">
        <v>-0.39463324942026701</v>
      </c>
      <c r="HK235" s="5">
        <v>0.376305152090051</v>
      </c>
      <c r="HL235" s="5">
        <v>0.114589359333305</v>
      </c>
      <c r="HM235" s="5">
        <v>-4.6793772014901303E-3</v>
      </c>
      <c r="HN235" s="5">
        <v>-0.52496958205848399</v>
      </c>
      <c r="HO235" s="5">
        <v>0.62970797112251298</v>
      </c>
      <c r="HP235" s="5">
        <v>8.9696322884978003E-2</v>
      </c>
      <c r="HQ235" s="5">
        <v>8.9739996646519202E-2</v>
      </c>
      <c r="HR235" s="5">
        <v>0.17125729300603201</v>
      </c>
      <c r="HS235" s="5">
        <v>-1.3058787880230099E-2</v>
      </c>
      <c r="HT235" s="5">
        <v>-0.63304752513759699</v>
      </c>
      <c r="HU235" s="5">
        <v>0.77423724358024704</v>
      </c>
      <c r="HV235" s="5">
        <v>0.10499062854727199</v>
      </c>
      <c r="HW235" s="5">
        <v>-7.4988714765546497E-4</v>
      </c>
      <c r="HX235" s="5">
        <v>0.17838995709882699</v>
      </c>
      <c r="HY235" s="5">
        <v>-3.8425213007209399E-2</v>
      </c>
      <c r="HZ235" s="5">
        <v>-0.876755163411849</v>
      </c>
      <c r="IA235" s="5">
        <v>1</v>
      </c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</row>
    <row r="236" spans="1:389" x14ac:dyDescent="0.45">
      <c r="A236" s="4" t="str">
        <f ca="1">"MNG / beta1dist in "&amp;CELL("address",'damages-1990'!$J$119)</f>
        <v>MNG / beta1dist in '[BHM betas v3pd.xlsx]damages-1990'!$J$119</v>
      </c>
      <c r="B236" s="6">
        <v>0.112448429671653</v>
      </c>
      <c r="C236" s="5">
        <v>-0.14449839754932101</v>
      </c>
      <c r="D236" s="5">
        <v>-0.183685022644999</v>
      </c>
      <c r="E236" s="5">
        <v>7.0147098877911804E-2</v>
      </c>
      <c r="F236" s="5">
        <v>0.25997656453177098</v>
      </c>
      <c r="G236" s="5">
        <v>-0.28486425403383198</v>
      </c>
      <c r="H236" s="5">
        <v>0.62941052577035494</v>
      </c>
      <c r="I236" s="5">
        <v>-0.50500912732925696</v>
      </c>
      <c r="J236" s="5">
        <v>-0.31248815176762401</v>
      </c>
      <c r="K236" s="5">
        <v>0.116502646939315</v>
      </c>
      <c r="L236" s="5">
        <v>-2.7596923623591701E-2</v>
      </c>
      <c r="M236" s="5">
        <v>-1.14377707006908E-2</v>
      </c>
      <c r="N236" s="5">
        <v>0.24928958557143299</v>
      </c>
      <c r="O236" s="5">
        <v>-4.4011878372453503E-2</v>
      </c>
      <c r="P236" s="5">
        <v>-0.204157165132342</v>
      </c>
      <c r="Q236" s="5">
        <v>0.12689309007962199</v>
      </c>
      <c r="R236" s="5">
        <v>-0.240807817588676</v>
      </c>
      <c r="S236" s="5">
        <v>8.1907668484896001E-2</v>
      </c>
      <c r="T236" s="5">
        <v>0.46498321427610101</v>
      </c>
      <c r="U236" s="5">
        <v>-0.34211447469048401</v>
      </c>
      <c r="V236" s="5">
        <v>0.180874667198657</v>
      </c>
      <c r="W236" s="5">
        <v>-0.26863982848517298</v>
      </c>
      <c r="X236" s="5">
        <v>-0.100948427220535</v>
      </c>
      <c r="Y236" s="5">
        <v>-2.3248240924211499E-2</v>
      </c>
      <c r="Z236" s="5">
        <v>0.49865365293113201</v>
      </c>
      <c r="AA236" s="5">
        <v>-0.45531246580178403</v>
      </c>
      <c r="AB236" s="5">
        <v>-0.22900730536074301</v>
      </c>
      <c r="AC236" s="5">
        <v>0.21799333373216401</v>
      </c>
      <c r="AD236" s="5">
        <v>-0.191146333226618</v>
      </c>
      <c r="AE236" s="5">
        <v>0.17147701769771001</v>
      </c>
      <c r="AF236" s="5">
        <v>-0.41128193554057602</v>
      </c>
      <c r="AG236" s="5">
        <v>0.28458875162991998</v>
      </c>
      <c r="AH236" s="5">
        <v>0.31291055611111501</v>
      </c>
      <c r="AI236" s="5">
        <v>-0.29748317866560198</v>
      </c>
      <c r="AJ236" s="5">
        <v>-0.394593743491017</v>
      </c>
      <c r="AK236" s="5">
        <v>0.14229923295993499</v>
      </c>
      <c r="AL236" s="5">
        <v>-0.19509110138473401</v>
      </c>
      <c r="AM236" s="5">
        <v>0.100416326222764</v>
      </c>
      <c r="AN236" s="5">
        <v>0.41379043188356701</v>
      </c>
      <c r="AO236" s="5">
        <v>-0.34308027168584898</v>
      </c>
      <c r="AP236" s="5">
        <v>0.50859778910162501</v>
      </c>
      <c r="AQ236" s="5">
        <v>-0.402817697337295</v>
      </c>
      <c r="AR236" s="5">
        <v>-0.45091676404233699</v>
      </c>
      <c r="AS236" s="5">
        <v>0.36542000681056802</v>
      </c>
      <c r="AT236" s="5">
        <v>-0.28641804633009699</v>
      </c>
      <c r="AU236" s="5">
        <v>0.18925736880492899</v>
      </c>
      <c r="AV236" s="5">
        <v>-0.34127189929490698</v>
      </c>
      <c r="AW236" s="5">
        <v>0.22308059768566901</v>
      </c>
      <c r="AX236" s="5">
        <v>-0.445909325361734</v>
      </c>
      <c r="AY236" s="5">
        <v>0.32594680521139402</v>
      </c>
      <c r="AZ236" s="5">
        <v>-0.28640140954058502</v>
      </c>
      <c r="BA236" s="5">
        <v>0.221038594331186</v>
      </c>
      <c r="BB236" s="5">
        <v>-0.36977373271335101</v>
      </c>
      <c r="BC236" s="5">
        <v>0.24197134725488401</v>
      </c>
      <c r="BD236" s="5">
        <v>0.32567787597361503</v>
      </c>
      <c r="BE236" s="5">
        <v>-0.36904920816372699</v>
      </c>
      <c r="BF236" s="5">
        <v>-0.24517897129267799</v>
      </c>
      <c r="BG236" s="5">
        <v>0.101168840821154</v>
      </c>
      <c r="BH236" s="5">
        <v>-0.36743796617430302</v>
      </c>
      <c r="BI236" s="5">
        <v>0.31342120521359701</v>
      </c>
      <c r="BJ236" s="5">
        <v>0.49185313023169702</v>
      </c>
      <c r="BK236" s="5">
        <v>-0.28759949274559299</v>
      </c>
      <c r="BL236" s="5">
        <v>0.42359784614920098</v>
      </c>
      <c r="BM236" s="5">
        <v>-0.27413460564110098</v>
      </c>
      <c r="BN236" s="5">
        <v>0.40225706947022499</v>
      </c>
      <c r="BO236" s="5">
        <v>-0.31238939696370699</v>
      </c>
      <c r="BP236" s="5">
        <v>0.68035173375590097</v>
      </c>
      <c r="BQ236" s="5">
        <v>-0.71173962955463499</v>
      </c>
      <c r="BR236" s="5">
        <v>-0.18574646839853401</v>
      </c>
      <c r="BS236" s="5">
        <v>0.18846354479185601</v>
      </c>
      <c r="BT236" s="5">
        <v>-0.38185488044565002</v>
      </c>
      <c r="BU236" s="5">
        <v>0.32471586275430903</v>
      </c>
      <c r="BV236" s="5">
        <v>-0.23031835066424799</v>
      </c>
      <c r="BW236" s="5">
        <v>0.13799144434383201</v>
      </c>
      <c r="BX236" s="5">
        <v>-0.20751746390059</v>
      </c>
      <c r="BY236" s="5">
        <v>0.167665121709729</v>
      </c>
      <c r="BZ236" s="5">
        <v>-0.312637413447727</v>
      </c>
      <c r="CA236" s="5">
        <v>0.223761341870125</v>
      </c>
      <c r="CB236" s="5">
        <v>-0.21582488197161001</v>
      </c>
      <c r="CC236" s="5">
        <v>0.16038389718662299</v>
      </c>
      <c r="CD236" s="5">
        <v>-0.104769811982329</v>
      </c>
      <c r="CE236" s="5">
        <v>-6.5999410974681601E-3</v>
      </c>
      <c r="CF236" s="5">
        <v>-0.39378093540331299</v>
      </c>
      <c r="CG236" s="5">
        <v>0.33755418806565601</v>
      </c>
      <c r="CH236" s="5">
        <v>-0.19152108611323099</v>
      </c>
      <c r="CI236" s="5">
        <v>0.13624948447086499</v>
      </c>
      <c r="CJ236" s="5">
        <v>-0.20866426282654599</v>
      </c>
      <c r="CK236" s="5">
        <v>5.4653169439124301E-2</v>
      </c>
      <c r="CL236" s="5">
        <v>0.51298830444960397</v>
      </c>
      <c r="CM236" s="5">
        <v>-0.42259117240182498</v>
      </c>
      <c r="CN236" s="5">
        <v>0.55887656809854602</v>
      </c>
      <c r="CO236" s="5">
        <v>-0.50362514860448504</v>
      </c>
      <c r="CP236" s="5">
        <v>-0.25964265810784598</v>
      </c>
      <c r="CQ236" s="5">
        <v>0.205035499798639</v>
      </c>
      <c r="CR236" s="5">
        <v>-0.240222710326671</v>
      </c>
      <c r="CS236" s="5">
        <v>0.18759076425440099</v>
      </c>
      <c r="CT236" s="5">
        <v>0.58421974996975801</v>
      </c>
      <c r="CU236" s="5">
        <v>-0.49997676949755299</v>
      </c>
      <c r="CV236" s="5">
        <v>-4.42633130196717E-2</v>
      </c>
      <c r="CW236" s="5">
        <v>-3.2755070460883502E-2</v>
      </c>
      <c r="CX236" s="5">
        <v>-0.31489249388297402</v>
      </c>
      <c r="CY236" s="5">
        <v>0.14487173216869401</v>
      </c>
      <c r="CZ236" s="5">
        <v>-0.25053602328306301</v>
      </c>
      <c r="DA236" s="5">
        <v>0.15335081160213099</v>
      </c>
      <c r="DB236" s="5">
        <v>-0.16201542011456699</v>
      </c>
      <c r="DC236" s="5">
        <v>-0.160057189999013</v>
      </c>
      <c r="DD236" s="5">
        <v>-0.241756750311796</v>
      </c>
      <c r="DE236" s="5">
        <v>0.17450487524180699</v>
      </c>
      <c r="DF236" s="5">
        <v>-0.38119397639600799</v>
      </c>
      <c r="DG236" s="5">
        <v>0.26902306755525801</v>
      </c>
      <c r="DH236" s="5">
        <v>9.76289076462665E-2</v>
      </c>
      <c r="DI236" s="5">
        <v>-0.16333891919456001</v>
      </c>
      <c r="DJ236" s="5">
        <v>0.535010107457076</v>
      </c>
      <c r="DK236" s="5">
        <v>-0.42606000595521298</v>
      </c>
      <c r="DL236" s="5">
        <v>-0.224964131158089</v>
      </c>
      <c r="DM236" s="5">
        <v>0.16370239907063999</v>
      </c>
      <c r="DN236" s="5">
        <v>0.53034937190571296</v>
      </c>
      <c r="DO236" s="5">
        <v>-0.38406093588587698</v>
      </c>
      <c r="DP236" s="5">
        <v>-6.5844052581171306E-2</v>
      </c>
      <c r="DQ236" s="5">
        <v>-5.5732367458623797E-2</v>
      </c>
      <c r="DR236" s="5">
        <v>0.40489003478427099</v>
      </c>
      <c r="DS236" s="5">
        <v>-0.41245596781697402</v>
      </c>
      <c r="DT236" s="5">
        <v>-0.38971049104917499</v>
      </c>
      <c r="DU236" s="5">
        <v>0.32168683838644402</v>
      </c>
      <c r="DV236" s="5">
        <v>-5.1028879428018398E-2</v>
      </c>
      <c r="DW236" s="5">
        <v>2.8821599992106999E-3</v>
      </c>
      <c r="DX236" s="5">
        <v>0.60740110669884495</v>
      </c>
      <c r="DY236" s="5">
        <v>-0.51922854854623601</v>
      </c>
      <c r="DZ236" s="5">
        <v>0.26124883863408899</v>
      </c>
      <c r="EA236" s="5">
        <v>-6.8087280749584797E-2</v>
      </c>
      <c r="EB236" s="5">
        <v>-0.30474740923472998</v>
      </c>
      <c r="EC236" s="5">
        <v>0.24547196683707401</v>
      </c>
      <c r="ED236" s="5">
        <v>-0.18945165310445</v>
      </c>
      <c r="EE236" s="5">
        <v>0.14122821460217</v>
      </c>
      <c r="EF236" s="5">
        <v>-0.22046308748676699</v>
      </c>
      <c r="EG236" s="5">
        <v>0.15990047391929599</v>
      </c>
      <c r="EH236" s="5">
        <v>-0.28674470845602501</v>
      </c>
      <c r="EI236" s="5">
        <v>0.18274035176998901</v>
      </c>
      <c r="EJ236" s="5">
        <v>-0.23221297436118599</v>
      </c>
      <c r="EK236" s="5">
        <v>0.12815241425283599</v>
      </c>
      <c r="EL236" s="5">
        <v>-0.41617373370696198</v>
      </c>
      <c r="EM236" s="5">
        <v>0.38274597740710498</v>
      </c>
      <c r="EN236" s="5">
        <v>-2.32967569455402E-2</v>
      </c>
      <c r="EO236" s="5">
        <v>-4.87973638788936E-2</v>
      </c>
      <c r="EP236" s="5">
        <v>-0.283891360281598</v>
      </c>
      <c r="EQ236" s="5">
        <v>0.190458189225026</v>
      </c>
      <c r="ER236" s="5">
        <v>-0.408710956081898</v>
      </c>
      <c r="ES236" s="5">
        <v>0.31352154591498599</v>
      </c>
      <c r="ET236" s="5">
        <v>-0.38693059355730702</v>
      </c>
      <c r="EU236" s="5">
        <v>0.289978487412482</v>
      </c>
      <c r="EV236" s="5">
        <v>-0.51530198424655704</v>
      </c>
      <c r="EW236" s="5">
        <v>0.37257150119911198</v>
      </c>
      <c r="EX236" s="5">
        <v>-0.27353294291257602</v>
      </c>
      <c r="EY236" s="5">
        <v>0.131160402630879</v>
      </c>
      <c r="EZ236" s="5">
        <v>-0.40183064247219902</v>
      </c>
      <c r="FA236" s="5">
        <v>0.306899367171933</v>
      </c>
      <c r="FB236" s="5">
        <v>0.292238014193898</v>
      </c>
      <c r="FC236" s="5">
        <v>-0.27982943887790701</v>
      </c>
      <c r="FD236" s="5">
        <v>-8.7366687254058301E-2</v>
      </c>
      <c r="FE236" s="5">
        <v>9.6379856247352097E-3</v>
      </c>
      <c r="FF236" s="5">
        <v>0.37792572740378499</v>
      </c>
      <c r="FG236" s="5">
        <v>-0.34687935828814298</v>
      </c>
      <c r="FH236" s="5">
        <v>-0.38481459438432197</v>
      </c>
      <c r="FI236" s="5">
        <v>0.43511531582596402</v>
      </c>
      <c r="FJ236" s="5">
        <v>-0.17066357945317201</v>
      </c>
      <c r="FK236" s="5">
        <v>-5.0532242434526004E-3</v>
      </c>
      <c r="FL236" s="5">
        <v>0.55384674309000703</v>
      </c>
      <c r="FM236" s="5">
        <v>-0.44138404107683599</v>
      </c>
      <c r="FN236" s="5">
        <v>-0.11960819955035</v>
      </c>
      <c r="FO236" s="5">
        <v>5.7725478772498598E-3</v>
      </c>
      <c r="FP236" s="5">
        <v>-0.260757166809861</v>
      </c>
      <c r="FQ236" s="5">
        <v>4.6644746812006699E-2</v>
      </c>
      <c r="FR236" s="5">
        <v>0.27784319072705099</v>
      </c>
      <c r="FS236" s="5">
        <v>3.04345222833288E-2</v>
      </c>
      <c r="FT236" s="5">
        <v>-0.18892647799982401</v>
      </c>
      <c r="FU236" s="5">
        <v>-7.2904255051244399E-2</v>
      </c>
      <c r="FV236" s="5">
        <v>0.191802110616729</v>
      </c>
      <c r="FW236" s="5">
        <v>-0.22121435517875401</v>
      </c>
      <c r="FX236" s="5">
        <v>-0.24137485139432799</v>
      </c>
      <c r="FY236" s="5">
        <v>0.159097478626364</v>
      </c>
      <c r="FZ236" s="5">
        <v>-0.14973651478266001</v>
      </c>
      <c r="GA236" s="5">
        <v>-0.11067612453843099</v>
      </c>
      <c r="GB236" s="5">
        <v>0.40161273412653797</v>
      </c>
      <c r="GC236" s="5">
        <v>-0.448971474891671</v>
      </c>
      <c r="GD236" s="5">
        <v>0.63648007466436196</v>
      </c>
      <c r="GE236" s="5">
        <v>-0.53564602748889101</v>
      </c>
      <c r="GF236" s="5">
        <v>-0.30146521289353401</v>
      </c>
      <c r="GG236" s="5">
        <v>0.207495742733112</v>
      </c>
      <c r="GH236" s="5">
        <v>0.51877193411087397</v>
      </c>
      <c r="GI236" s="5">
        <v>-0.30140626479982902</v>
      </c>
      <c r="GJ236" s="5">
        <v>-0.437615795153869</v>
      </c>
      <c r="GK236" s="5">
        <v>0.33481475947471501</v>
      </c>
      <c r="GL236" s="5">
        <v>-0.13165374185703599</v>
      </c>
      <c r="GM236" s="5">
        <v>4.7979360711438199E-2</v>
      </c>
      <c r="GN236" s="5">
        <v>0.36563372892958901</v>
      </c>
      <c r="GO236" s="5">
        <v>-0.46354666522648302</v>
      </c>
      <c r="GP236" s="5">
        <v>-0.342345847922568</v>
      </c>
      <c r="GQ236" s="5">
        <v>9.7123283673188301E-2</v>
      </c>
      <c r="GR236" s="5">
        <v>-0.30989981651147702</v>
      </c>
      <c r="GS236" s="5">
        <v>0.22520136557262399</v>
      </c>
      <c r="GT236" s="5">
        <v>-5.5240422856926499E-3</v>
      </c>
      <c r="GU236" s="5">
        <v>-9.7656098071383299E-2</v>
      </c>
      <c r="GV236" s="5">
        <v>-0.10098592633713201</v>
      </c>
      <c r="GW236" s="5">
        <v>0.109065979787315</v>
      </c>
      <c r="GX236" s="5">
        <v>-0.19554851852293201</v>
      </c>
      <c r="GY236" s="5">
        <v>-2.2457697718541399E-2</v>
      </c>
      <c r="GZ236" s="5">
        <v>0.44013298331766998</v>
      </c>
      <c r="HA236" s="5">
        <v>-0.307018008390401</v>
      </c>
      <c r="HB236" s="5">
        <v>-0.28637111216474997</v>
      </c>
      <c r="HC236" s="5">
        <v>0.193915293509242</v>
      </c>
      <c r="HD236" s="5">
        <v>0.20125261742820899</v>
      </c>
      <c r="HE236" s="5">
        <v>-0.16785154485970399</v>
      </c>
      <c r="HF236" s="5">
        <v>0.55287056253174005</v>
      </c>
      <c r="HG236" s="5">
        <v>-0.455633639307784</v>
      </c>
      <c r="HH236" s="5">
        <v>0.52761311245379605</v>
      </c>
      <c r="HI236" s="5">
        <v>-0.47663328639625402</v>
      </c>
      <c r="HJ236" s="5">
        <v>0.55213851467020603</v>
      </c>
      <c r="HK236" s="5">
        <v>-0.447982188145993</v>
      </c>
      <c r="HL236" s="5">
        <v>-0.24340850358649399</v>
      </c>
      <c r="HM236" s="5">
        <v>0.17700419412685101</v>
      </c>
      <c r="HN236" s="5">
        <v>0.363103368869656</v>
      </c>
      <c r="HO236" s="5">
        <v>-0.321017565094807</v>
      </c>
      <c r="HP236" s="5">
        <v>-1.5052808815454099E-2</v>
      </c>
      <c r="HQ236" s="5">
        <v>-0.15843076288834201</v>
      </c>
      <c r="HR236" s="5">
        <v>-0.29966127629653599</v>
      </c>
      <c r="HS236" s="5">
        <v>0.18364767199291801</v>
      </c>
      <c r="HT236" s="5">
        <v>0.357130883623266</v>
      </c>
      <c r="HU236" s="5">
        <v>-0.32125727032283902</v>
      </c>
      <c r="HV236" s="5">
        <v>-0.22503834129375899</v>
      </c>
      <c r="HW236" s="5">
        <v>0.13460057066463199</v>
      </c>
      <c r="HX236" s="5">
        <v>-0.27223695737765702</v>
      </c>
      <c r="HY236" s="5">
        <v>0.19305441876652901</v>
      </c>
      <c r="HZ236" s="5">
        <v>0.47900977687934299</v>
      </c>
      <c r="IA236" s="5">
        <v>-0.37663736058194802</v>
      </c>
      <c r="IB236" s="5">
        <v>1</v>
      </c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</row>
    <row r="237" spans="1:389" x14ac:dyDescent="0.45">
      <c r="A237" s="4" t="str">
        <f ca="1">"MNG / beta2dist in "&amp;CELL("address",'damages-1990'!$K$119)</f>
        <v>MNG / beta2dist in '[BHM betas v3pd.xlsx]damages-1990'!$K$119</v>
      </c>
      <c r="B237" s="6">
        <v>3.9442837214279401E-2</v>
      </c>
      <c r="C237" s="5">
        <v>-7.6386435702117403E-3</v>
      </c>
      <c r="D237" s="5">
        <v>0.15743578182388901</v>
      </c>
      <c r="E237" s="5">
        <v>-0.14334824083778699</v>
      </c>
      <c r="F237" s="5">
        <v>-7.4499859376564406E-2</v>
      </c>
      <c r="G237" s="5">
        <v>0.13728675706490401</v>
      </c>
      <c r="H237" s="5">
        <v>-0.48266569299650203</v>
      </c>
      <c r="I237" s="5">
        <v>0.50498503381651105</v>
      </c>
      <c r="J237" s="5">
        <v>0.261496538671663</v>
      </c>
      <c r="K237" s="5">
        <v>-0.179175142881393</v>
      </c>
      <c r="L237" s="5">
        <v>6.8575745121841697E-2</v>
      </c>
      <c r="M237" s="5">
        <v>-2.4356018854016899E-2</v>
      </c>
      <c r="N237" s="5">
        <v>-4.6318879582226399E-2</v>
      </c>
      <c r="O237" s="5">
        <v>-3.0710002756364301E-2</v>
      </c>
      <c r="P237" s="5">
        <v>0.22519142268317299</v>
      </c>
      <c r="Q237" s="5">
        <v>-0.21214074337416999</v>
      </c>
      <c r="R237" s="5">
        <v>0.222602647300673</v>
      </c>
      <c r="S237" s="5">
        <v>-0.15515053051668101</v>
      </c>
      <c r="T237" s="5">
        <v>-0.29611242273573402</v>
      </c>
      <c r="U237" s="5">
        <v>0.28487738517403299</v>
      </c>
      <c r="V237" s="5">
        <v>-2.5846105988047999E-2</v>
      </c>
      <c r="W237" s="5">
        <v>0.117934213342463</v>
      </c>
      <c r="X237" s="5">
        <v>8.8909768122152094E-2</v>
      </c>
      <c r="Y237" s="5">
        <v>-4.6425880029025701E-2</v>
      </c>
      <c r="Z237" s="5">
        <v>-0.34938146869978198</v>
      </c>
      <c r="AA237" s="5">
        <v>0.41438783889119202</v>
      </c>
      <c r="AB237" s="5">
        <v>0.16874883610194699</v>
      </c>
      <c r="AC237" s="5">
        <v>-0.25632276141913501</v>
      </c>
      <c r="AD237" s="5">
        <v>0.169164119874816</v>
      </c>
      <c r="AE237" s="5">
        <v>-0.24189700748026099</v>
      </c>
      <c r="AF237" s="5">
        <v>0.30365735169039998</v>
      </c>
      <c r="AG237" s="5">
        <v>-0.26190346979115597</v>
      </c>
      <c r="AH237" s="5">
        <v>-0.12100555212073801</v>
      </c>
      <c r="AI237" s="5">
        <v>0.16278300181109501</v>
      </c>
      <c r="AJ237" s="5">
        <v>0.355623782826337</v>
      </c>
      <c r="AK237" s="5">
        <v>-0.20582295360332201</v>
      </c>
      <c r="AL237" s="5">
        <v>0.107371130709044</v>
      </c>
      <c r="AM237" s="5">
        <v>-6.63182423117053E-2</v>
      </c>
      <c r="AN237" s="5">
        <v>-0.211216558098235</v>
      </c>
      <c r="AO237" s="5">
        <v>0.234357287897351</v>
      </c>
      <c r="AP237" s="5">
        <v>-0.355736104388996</v>
      </c>
      <c r="AQ237" s="5">
        <v>0.35612443758784501</v>
      </c>
      <c r="AR237" s="5">
        <v>0.38576371950086502</v>
      </c>
      <c r="AS237" s="5">
        <v>-0.37990871205399701</v>
      </c>
      <c r="AT237" s="5">
        <v>0.244181941917996</v>
      </c>
      <c r="AU237" s="5">
        <v>-0.18706379325627701</v>
      </c>
      <c r="AV237" s="5">
        <v>0.28110958079689302</v>
      </c>
      <c r="AW237" s="5">
        <v>-0.25910382668896997</v>
      </c>
      <c r="AX237" s="5">
        <v>0.39342348732695498</v>
      </c>
      <c r="AY237" s="5">
        <v>-0.39756511728748101</v>
      </c>
      <c r="AZ237" s="5">
        <v>0.31645919867480898</v>
      </c>
      <c r="BA237" s="5">
        <v>-0.30484036606562998</v>
      </c>
      <c r="BB237" s="5">
        <v>0.356205912866984</v>
      </c>
      <c r="BC237" s="5">
        <v>-0.34430998947601799</v>
      </c>
      <c r="BD237" s="5">
        <v>-0.14049006596099001</v>
      </c>
      <c r="BE237" s="5">
        <v>0.21274029387427101</v>
      </c>
      <c r="BF237" s="5">
        <v>0.22751928051706399</v>
      </c>
      <c r="BG237" s="5">
        <v>-0.160499463788185</v>
      </c>
      <c r="BH237" s="5">
        <v>0.32958676654762598</v>
      </c>
      <c r="BI237" s="5">
        <v>-0.38573493228844202</v>
      </c>
      <c r="BJ237" s="5">
        <v>-0.335801016533115</v>
      </c>
      <c r="BK237" s="5">
        <v>0.30206258022739102</v>
      </c>
      <c r="BL237" s="5">
        <v>-0.235179311349974</v>
      </c>
      <c r="BM237" s="5">
        <v>0.20779629804606001</v>
      </c>
      <c r="BN237" s="5">
        <v>-0.240544854803284</v>
      </c>
      <c r="BO237" s="5">
        <v>0.29395093865363803</v>
      </c>
      <c r="BP237" s="5">
        <v>-0.45989956730705001</v>
      </c>
      <c r="BQ237" s="5">
        <v>0.624390858106741</v>
      </c>
      <c r="BR237" s="5">
        <v>0.195012229327297</v>
      </c>
      <c r="BS237" s="5">
        <v>-0.28358483937721701</v>
      </c>
      <c r="BT237" s="5">
        <v>0.34568947786501703</v>
      </c>
      <c r="BU237" s="5">
        <v>-0.39846759576908197</v>
      </c>
      <c r="BV237" s="5">
        <v>0.189457046362877</v>
      </c>
      <c r="BW237" s="5">
        <v>-0.212373270056327</v>
      </c>
      <c r="BX237" s="5">
        <v>0.17046260027461499</v>
      </c>
      <c r="BY237" s="5">
        <v>-0.23666913279568999</v>
      </c>
      <c r="BZ237" s="5">
        <v>0.27045575635922497</v>
      </c>
      <c r="CA237" s="5">
        <v>-0.29507931957693201</v>
      </c>
      <c r="CB237" s="5">
        <v>0.16920153653219699</v>
      </c>
      <c r="CC237" s="5">
        <v>-0.19432010082926199</v>
      </c>
      <c r="CD237" s="5">
        <v>0.12967967445286299</v>
      </c>
      <c r="CE237" s="5">
        <v>-6.6112422978904795E-2</v>
      </c>
      <c r="CF237" s="5">
        <v>0.39162552304742099</v>
      </c>
      <c r="CG237" s="5">
        <v>-0.41087527042432598</v>
      </c>
      <c r="CH237" s="5">
        <v>0.10321651047259001</v>
      </c>
      <c r="CI237" s="5">
        <v>-8.3877065334361497E-2</v>
      </c>
      <c r="CJ237" s="5">
        <v>0.23204330372670601</v>
      </c>
      <c r="CK237" s="5">
        <v>-0.116596882437976</v>
      </c>
      <c r="CL237" s="5">
        <v>-0.34844726672437598</v>
      </c>
      <c r="CM237" s="5">
        <v>0.37074803115855598</v>
      </c>
      <c r="CN237" s="5">
        <v>-0.39771733553344402</v>
      </c>
      <c r="CO237" s="5">
        <v>0.46007115025532502</v>
      </c>
      <c r="CP237" s="5">
        <v>0.26927878298547803</v>
      </c>
      <c r="CQ237" s="5">
        <v>-0.29133237183824401</v>
      </c>
      <c r="CR237" s="5">
        <v>0.294438475982299</v>
      </c>
      <c r="CS237" s="5">
        <v>-0.29196725215848501</v>
      </c>
      <c r="CT237" s="5">
        <v>-0.48579109905475998</v>
      </c>
      <c r="CU237" s="5">
        <v>0.50923267588855603</v>
      </c>
      <c r="CV237" s="5">
        <v>4.4142339139334102E-2</v>
      </c>
      <c r="CW237" s="5">
        <v>-2.5679642880518098E-2</v>
      </c>
      <c r="CX237" s="5">
        <v>0.238689976196516</v>
      </c>
      <c r="CY237" s="5">
        <v>-0.14832293679522099</v>
      </c>
      <c r="CZ237" s="5">
        <v>0.22922149965716901</v>
      </c>
      <c r="DA237" s="5">
        <v>-0.21686645110184699</v>
      </c>
      <c r="DB237" s="5">
        <v>8.0251560346412495E-2</v>
      </c>
      <c r="DC237" s="5">
        <v>0.17459335116202099</v>
      </c>
      <c r="DD237" s="5">
        <v>0.269868555898788</v>
      </c>
      <c r="DE237" s="5">
        <v>-0.28714545666644098</v>
      </c>
      <c r="DF237" s="5">
        <v>0.39049593524791398</v>
      </c>
      <c r="DG237" s="5">
        <v>-0.36227436244051597</v>
      </c>
      <c r="DH237" s="5">
        <v>5.2143510015320103E-2</v>
      </c>
      <c r="DI237" s="5">
        <v>1.25097642203944E-2</v>
      </c>
      <c r="DJ237" s="5">
        <v>-0.42101047753615101</v>
      </c>
      <c r="DK237" s="5">
        <v>0.41578826258035301</v>
      </c>
      <c r="DL237" s="5">
        <v>0.228005929672669</v>
      </c>
      <c r="DM237" s="5">
        <v>-0.25831586900828302</v>
      </c>
      <c r="DN237" s="5">
        <v>-0.40454656175774201</v>
      </c>
      <c r="DO237" s="5">
        <v>0.377254155059981</v>
      </c>
      <c r="DP237" s="5">
        <v>-1.7676720416331199E-2</v>
      </c>
      <c r="DQ237" s="5">
        <v>9.1449234865033605E-2</v>
      </c>
      <c r="DR237" s="5">
        <v>-0.234358878293801</v>
      </c>
      <c r="DS237" s="5">
        <v>0.317922628271191</v>
      </c>
      <c r="DT237" s="5">
        <v>0.38193575061030799</v>
      </c>
      <c r="DU237" s="5">
        <v>-0.37174138138839102</v>
      </c>
      <c r="DV237" s="5">
        <v>4.32695597257889E-2</v>
      </c>
      <c r="DW237" s="5">
        <v>-8.3742421232450501E-2</v>
      </c>
      <c r="DX237" s="5">
        <v>-0.46849620177202</v>
      </c>
      <c r="DY237" s="5">
        <v>0.50330898210392205</v>
      </c>
      <c r="DZ237" s="5">
        <v>-6.2983399700811696E-2</v>
      </c>
      <c r="EA237" s="5">
        <v>-6.12985568533815E-3</v>
      </c>
      <c r="EB237" s="5">
        <v>0.28925237133949</v>
      </c>
      <c r="EC237" s="5">
        <v>-0.32520085727428499</v>
      </c>
      <c r="ED237" s="5">
        <v>0.14420849240754499</v>
      </c>
      <c r="EE237" s="5">
        <v>-0.19303982390987601</v>
      </c>
      <c r="EF237" s="5">
        <v>0.268633383072231</v>
      </c>
      <c r="EG237" s="5">
        <v>-0.25950520345242301</v>
      </c>
      <c r="EH237" s="5">
        <v>0.28307013274571602</v>
      </c>
      <c r="EI237" s="5">
        <v>-0.27638158180611599</v>
      </c>
      <c r="EJ237" s="5">
        <v>0.21551761686995899</v>
      </c>
      <c r="EK237" s="5">
        <v>-0.20647423213114799</v>
      </c>
      <c r="EL237" s="5">
        <v>0.39742158806983502</v>
      </c>
      <c r="EM237" s="5">
        <v>-0.45822385718812497</v>
      </c>
      <c r="EN237" s="5">
        <v>0.109911328249537</v>
      </c>
      <c r="EO237" s="5">
        <v>-2.4117028240908001E-2</v>
      </c>
      <c r="EP237" s="5">
        <v>0.32287056390955798</v>
      </c>
      <c r="EQ237" s="5">
        <v>-0.28672758475555599</v>
      </c>
      <c r="ER237" s="5">
        <v>0.357613301315994</v>
      </c>
      <c r="ES237" s="5">
        <v>-0.34589358575936802</v>
      </c>
      <c r="ET237" s="5">
        <v>0.33120070159204201</v>
      </c>
      <c r="EU237" s="5">
        <v>-0.33069844699242301</v>
      </c>
      <c r="EV237" s="5">
        <v>0.45245901826805601</v>
      </c>
      <c r="EW237" s="5">
        <v>-0.41319031820497998</v>
      </c>
      <c r="EX237" s="5">
        <v>0.176991908663369</v>
      </c>
      <c r="EY237" s="5">
        <v>-8.9292737304840594E-2</v>
      </c>
      <c r="EZ237" s="5">
        <v>0.35454315624730598</v>
      </c>
      <c r="FA237" s="5">
        <v>-0.34661043344425901</v>
      </c>
      <c r="FB237" s="5">
        <v>-0.11122307958668499</v>
      </c>
      <c r="FC237" s="5">
        <v>0.15840606114578201</v>
      </c>
      <c r="FD237" s="5">
        <v>6.04222824611544E-2</v>
      </c>
      <c r="FE237" s="5">
        <v>-4.9459335832401502E-2</v>
      </c>
      <c r="FF237" s="5">
        <v>-0.19580542595789999</v>
      </c>
      <c r="FG237" s="5">
        <v>0.23883488620875901</v>
      </c>
      <c r="FH237" s="5">
        <v>0.312400034897866</v>
      </c>
      <c r="FI237" s="5">
        <v>-0.463264805045904</v>
      </c>
      <c r="FJ237" s="5">
        <v>8.1003232635656494E-2</v>
      </c>
      <c r="FK237" s="5">
        <v>3.2841250130213801E-3</v>
      </c>
      <c r="FL237" s="5">
        <v>-0.42589164883558001</v>
      </c>
      <c r="FM237" s="5">
        <v>0.43824906975319999</v>
      </c>
      <c r="FN237" s="5">
        <v>0.157677256579107</v>
      </c>
      <c r="FO237" s="5">
        <v>-8.8033488556203604E-2</v>
      </c>
      <c r="FP237" s="5">
        <v>0.22762659482300299</v>
      </c>
      <c r="FQ237" s="5">
        <v>-8.9703213534156806E-2</v>
      </c>
      <c r="FR237" s="5">
        <v>-0.172249574548064</v>
      </c>
      <c r="FS237" s="5">
        <v>-4.7552970029398997E-2</v>
      </c>
      <c r="FT237" s="5">
        <v>0.168005550410569</v>
      </c>
      <c r="FU237" s="5">
        <v>3.6818561154625097E-2</v>
      </c>
      <c r="FV237" s="5">
        <v>-3.5436909265687003E-2</v>
      </c>
      <c r="FW237" s="5">
        <v>8.8640577804425594E-2</v>
      </c>
      <c r="FX237" s="5">
        <v>0.21527246184929999</v>
      </c>
      <c r="FY237" s="5">
        <v>-0.19339376226417099</v>
      </c>
      <c r="FZ237" s="5">
        <v>0.143332168309969</v>
      </c>
      <c r="GA237" s="5">
        <v>5.9277812055807198E-2</v>
      </c>
      <c r="GB237" s="5">
        <v>-0.227061426565979</v>
      </c>
      <c r="GC237" s="5">
        <v>0.32883735446420498</v>
      </c>
      <c r="GD237" s="5">
        <v>-0.52360846800006</v>
      </c>
      <c r="GE237" s="5">
        <v>0.563028384142781</v>
      </c>
      <c r="GF237" s="5">
        <v>0.26263426364063103</v>
      </c>
      <c r="GG237" s="5">
        <v>-0.27482447512269798</v>
      </c>
      <c r="GH237" s="5">
        <v>-0.36873687792285598</v>
      </c>
      <c r="GI237" s="5">
        <v>0.306460186103787</v>
      </c>
      <c r="GJ237" s="5">
        <v>0.35483230163936902</v>
      </c>
      <c r="GK237" s="5">
        <v>-0.33892475327529198</v>
      </c>
      <c r="GL237" s="5">
        <v>0.159124640345883</v>
      </c>
      <c r="GM237" s="5">
        <v>-0.130107649648708</v>
      </c>
      <c r="GN237" s="5">
        <v>-0.17984046226966699</v>
      </c>
      <c r="GO237" s="5">
        <v>0.305799454467097</v>
      </c>
      <c r="GP237" s="5">
        <v>0.29063286191966098</v>
      </c>
      <c r="GQ237" s="5">
        <v>-0.137892951441904</v>
      </c>
      <c r="GR237" s="5">
        <v>0.24978488966722401</v>
      </c>
      <c r="GS237" s="5">
        <v>-0.23079875971730199</v>
      </c>
      <c r="GT237" s="5">
        <v>7.9988531422019199E-2</v>
      </c>
      <c r="GU237" s="5">
        <v>2.0720234356880599E-2</v>
      </c>
      <c r="GV237" s="5">
        <v>0.103036572105668</v>
      </c>
      <c r="GW237" s="5">
        <v>-0.197952466506011</v>
      </c>
      <c r="GX237" s="5">
        <v>9.9914650208461298E-2</v>
      </c>
      <c r="GY237" s="5">
        <v>5.8672014486494999E-2</v>
      </c>
      <c r="GZ237" s="5">
        <v>-0.262129558888895</v>
      </c>
      <c r="HA237" s="5">
        <v>0.247525948806855</v>
      </c>
      <c r="HB237" s="5">
        <v>0.25926902400479801</v>
      </c>
      <c r="HC237" s="5">
        <v>-0.26773940755345699</v>
      </c>
      <c r="HD237" s="5">
        <v>-5.4763846127012301E-2</v>
      </c>
      <c r="HE237" s="5">
        <v>5.8265782414371997E-2</v>
      </c>
      <c r="HF237" s="5">
        <v>-0.41416517581663098</v>
      </c>
      <c r="HG237" s="5">
        <v>0.421942660865751</v>
      </c>
      <c r="HH237" s="5">
        <v>-0.36092048999826398</v>
      </c>
      <c r="HI237" s="5">
        <v>0.42185091869619901</v>
      </c>
      <c r="HJ237" s="5">
        <v>-0.431639509413482</v>
      </c>
      <c r="HK237" s="5">
        <v>0.43040141185981001</v>
      </c>
      <c r="HL237" s="5">
        <v>0.30764049516066699</v>
      </c>
      <c r="HM237" s="5">
        <v>-0.29568446039077501</v>
      </c>
      <c r="HN237" s="5">
        <v>-0.17741086849453899</v>
      </c>
      <c r="HO237" s="5">
        <v>0.215837552530599</v>
      </c>
      <c r="HP237" s="5">
        <v>-5.9152033956273102E-2</v>
      </c>
      <c r="HQ237" s="5">
        <v>0.15679603301926001</v>
      </c>
      <c r="HR237" s="5">
        <v>0.230897508541894</v>
      </c>
      <c r="HS237" s="5">
        <v>-0.18250256824917699</v>
      </c>
      <c r="HT237" s="5">
        <v>-0.145628254851843</v>
      </c>
      <c r="HU237" s="5">
        <v>0.173646567249057</v>
      </c>
      <c r="HV237" s="5">
        <v>0.144708170572596</v>
      </c>
      <c r="HW237" s="5">
        <v>-0.14920935946990899</v>
      </c>
      <c r="HX237" s="5">
        <v>0.21704573282327599</v>
      </c>
      <c r="HY237" s="5">
        <v>-0.22891779783709701</v>
      </c>
      <c r="HZ237" s="5">
        <v>-0.27129196596182698</v>
      </c>
      <c r="IA237" s="5">
        <v>0.27579180767334499</v>
      </c>
      <c r="IB237" s="5">
        <v>-0.90007874024328505</v>
      </c>
      <c r="IC237" s="5">
        <v>1</v>
      </c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</row>
    <row r="238" spans="1:389" x14ac:dyDescent="0.45">
      <c r="A238" s="4" t="str">
        <f ca="1">"MOZ / beta1dist in "&amp;CELL("address",'damages-1990'!$J$120)</f>
        <v>MOZ / beta1dist in '[BHM betas v3pd.xlsx]damages-1990'!$J$120</v>
      </c>
      <c r="B238" s="6">
        <v>0.26178748708194599</v>
      </c>
      <c r="C238" s="5">
        <v>0.13202269361095201</v>
      </c>
      <c r="D238" s="5">
        <v>0.66825740695135105</v>
      </c>
      <c r="E238" s="5">
        <v>-0.22864611230665499</v>
      </c>
      <c r="F238" s="5">
        <v>0.168467893331541</v>
      </c>
      <c r="G238" s="5">
        <v>8.8938523010045803E-2</v>
      </c>
      <c r="H238" s="5">
        <v>-5.7640889119140198E-2</v>
      </c>
      <c r="I238" s="5">
        <v>2.6140117312618599E-2</v>
      </c>
      <c r="J238" s="5">
        <v>0.53443469323346204</v>
      </c>
      <c r="K238" s="5">
        <v>-0.155941725749493</v>
      </c>
      <c r="L238" s="5">
        <v>0.38863027358846602</v>
      </c>
      <c r="M238" s="5">
        <v>2.8365249975938001E-3</v>
      </c>
      <c r="N238" s="5">
        <v>-9.1417668417429995E-4</v>
      </c>
      <c r="O238" s="5">
        <v>6.0975377732329899E-3</v>
      </c>
      <c r="P238" s="5">
        <v>0.40018772657360702</v>
      </c>
      <c r="Q238" s="5">
        <v>-0.16533815782560901</v>
      </c>
      <c r="R238" s="5">
        <v>0.43178340364883799</v>
      </c>
      <c r="S238" s="5">
        <v>-3.7532243449709901E-2</v>
      </c>
      <c r="T238" s="5">
        <v>0.15122631950302401</v>
      </c>
      <c r="U238" s="5">
        <v>-0.17017318867662301</v>
      </c>
      <c r="V238" s="5">
        <v>0.245143391505665</v>
      </c>
      <c r="W238" s="5">
        <v>0.14017118112639601</v>
      </c>
      <c r="X238" s="5">
        <v>0.65130374143972802</v>
      </c>
      <c r="Y238" s="5">
        <v>-0.25385358411141901</v>
      </c>
      <c r="Z238" s="5">
        <v>0.11576597978523499</v>
      </c>
      <c r="AA238" s="5">
        <v>-2.2514705685533799E-2</v>
      </c>
      <c r="AB238" s="5">
        <v>0.64980212880460497</v>
      </c>
      <c r="AC238" s="5">
        <v>-0.26735538778457302</v>
      </c>
      <c r="AD238" s="5">
        <v>0.58189219225600697</v>
      </c>
      <c r="AE238" s="5">
        <v>-0.16635148063948199</v>
      </c>
      <c r="AF238" s="5">
        <v>0.17379033260662699</v>
      </c>
      <c r="AG238" s="5">
        <v>0.17850190968758201</v>
      </c>
      <c r="AH238" s="5">
        <v>0.20433697628285599</v>
      </c>
      <c r="AI238" s="5">
        <v>-1.51072901565993E-2</v>
      </c>
      <c r="AJ238" s="5">
        <v>0.43724437222531098</v>
      </c>
      <c r="AK238" s="5">
        <v>-0.10332667780261499</v>
      </c>
      <c r="AL238" s="5">
        <v>0.330936158269521</v>
      </c>
      <c r="AM238" s="5">
        <v>-0.13188224361682899</v>
      </c>
      <c r="AN238" s="5">
        <v>0.18702893207590099</v>
      </c>
      <c r="AO238" s="5">
        <v>-0.105946000048508</v>
      </c>
      <c r="AP238" s="5">
        <v>2.12554828052967E-2</v>
      </c>
      <c r="AQ238" s="5">
        <v>-7.2174631825060297E-3</v>
      </c>
      <c r="AR238" s="5">
        <v>0.37218511835853502</v>
      </c>
      <c r="AS238" s="5">
        <v>-3.0075419439088601E-2</v>
      </c>
      <c r="AT238" s="5">
        <v>0.16559601740756899</v>
      </c>
      <c r="AU238" s="5">
        <v>4.7798216665525702E-2</v>
      </c>
      <c r="AV238" s="5">
        <v>0.46802815138693499</v>
      </c>
      <c r="AW238" s="5">
        <v>-5.9161253815793097E-2</v>
      </c>
      <c r="AX238" s="5">
        <v>0.52461704485946303</v>
      </c>
      <c r="AY238" s="5">
        <v>-0.15080093261358299</v>
      </c>
      <c r="AZ238" s="5">
        <v>0.41959332116048798</v>
      </c>
      <c r="BA238" s="5">
        <v>-0.172041858160603</v>
      </c>
      <c r="BB238" s="5">
        <v>0.484327180513973</v>
      </c>
      <c r="BC238" s="5">
        <v>-6.2647289914544504E-2</v>
      </c>
      <c r="BD238" s="5">
        <v>0.148135003163469</v>
      </c>
      <c r="BE238" s="5">
        <v>0.19612029953329799</v>
      </c>
      <c r="BF238" s="5">
        <v>0.644551874024472</v>
      </c>
      <c r="BG238" s="5">
        <v>-0.31360942811153097</v>
      </c>
      <c r="BH238" s="5">
        <v>0.63441468948350699</v>
      </c>
      <c r="BI238" s="5">
        <v>-0.18952716143303</v>
      </c>
      <c r="BJ238" s="5">
        <v>-0.10254477178702701</v>
      </c>
      <c r="BK238" s="5">
        <v>-2.9348395409599201E-2</v>
      </c>
      <c r="BL238" s="5">
        <v>8.0215565437262298E-2</v>
      </c>
      <c r="BM238" s="5">
        <v>-0.117093547223577</v>
      </c>
      <c r="BN238" s="5">
        <v>-5.2126617723732997E-2</v>
      </c>
      <c r="BO238" s="5">
        <v>0.135400910870347</v>
      </c>
      <c r="BP238" s="5">
        <v>-3.7425729826373101E-3</v>
      </c>
      <c r="BQ238" s="5">
        <v>7.4300892291413997E-2</v>
      </c>
      <c r="BR238" s="5">
        <v>0.54514690754138495</v>
      </c>
      <c r="BS238" s="5">
        <v>-0.166263167903766</v>
      </c>
      <c r="BT238" s="5">
        <v>0.61178873631406006</v>
      </c>
      <c r="BU238" s="5">
        <v>-0.18869030919454399</v>
      </c>
      <c r="BV238" s="5">
        <v>0.64866414872563305</v>
      </c>
      <c r="BW238" s="5">
        <v>-0.21488470041805899</v>
      </c>
      <c r="BX238" s="5">
        <v>0.58718734122249905</v>
      </c>
      <c r="BY238" s="5">
        <v>-0.18741911998343899</v>
      </c>
      <c r="BZ238" s="5">
        <v>0.51343381197843996</v>
      </c>
      <c r="CA238" s="5">
        <v>-0.13495211673789401</v>
      </c>
      <c r="CB238" s="5">
        <v>0.35030127219086299</v>
      </c>
      <c r="CC238" s="5">
        <v>-7.2684687920920296E-2</v>
      </c>
      <c r="CD238" s="5">
        <v>0.30476904492380702</v>
      </c>
      <c r="CE238" s="5">
        <v>-5.2566883923992197E-2</v>
      </c>
      <c r="CF238" s="5">
        <v>0.45747870791966899</v>
      </c>
      <c r="CG238" s="5">
        <v>-0.15471335712020501</v>
      </c>
      <c r="CH238" s="5">
        <v>0.299523029276071</v>
      </c>
      <c r="CI238" s="5">
        <v>-0.12952461544174099</v>
      </c>
      <c r="CJ238" s="5">
        <v>6.39424013116585E-2</v>
      </c>
      <c r="CK238" s="5">
        <v>0.16878851653372401</v>
      </c>
      <c r="CL238" s="5">
        <v>0.17982374784771901</v>
      </c>
      <c r="CM238" s="5">
        <v>-0.15653603067168501</v>
      </c>
      <c r="CN238" s="5">
        <v>0.146212071097688</v>
      </c>
      <c r="CO238" s="5">
        <v>-9.6274544984054106E-2</v>
      </c>
      <c r="CP238" s="5">
        <v>0.367006719597468</v>
      </c>
      <c r="CQ238" s="5">
        <v>-1.28492231918767E-2</v>
      </c>
      <c r="CR238" s="5">
        <v>0.37912730462689898</v>
      </c>
      <c r="CS238" s="5">
        <v>-0.105360966527834</v>
      </c>
      <c r="CT238" s="5">
        <v>0.139963657523652</v>
      </c>
      <c r="CU238" s="5">
        <v>-0.12519442252456001</v>
      </c>
      <c r="CV238" s="5">
        <v>0.48870781163389099</v>
      </c>
      <c r="CW238" s="5">
        <v>-0.214495764792689</v>
      </c>
      <c r="CX238" s="5">
        <v>0.409713754966612</v>
      </c>
      <c r="CY238" s="5">
        <v>-2.4207590551618599E-2</v>
      </c>
      <c r="CZ238" s="5">
        <v>0.54230708174176101</v>
      </c>
      <c r="DA238" s="5">
        <v>-0.229092171651019</v>
      </c>
      <c r="DB238" s="5">
        <v>0.36897284249065998</v>
      </c>
      <c r="DC238" s="5">
        <v>4.76597299851425E-2</v>
      </c>
      <c r="DD238" s="5">
        <v>0.428086468519013</v>
      </c>
      <c r="DE238" s="5">
        <v>-2.0378368509100901E-2</v>
      </c>
      <c r="DF238" s="5">
        <v>0.34760881275938998</v>
      </c>
      <c r="DG238" s="5">
        <v>3.3884311174838598E-3</v>
      </c>
      <c r="DH238" s="5">
        <v>0.23876257710941001</v>
      </c>
      <c r="DI238" s="5">
        <v>7.2666832915708093E-2</v>
      </c>
      <c r="DJ238" s="5">
        <v>-1.2417216785165899E-2</v>
      </c>
      <c r="DK238" s="5">
        <v>-3.45642820597491E-3</v>
      </c>
      <c r="DL238" s="5">
        <v>0.54183226005014296</v>
      </c>
      <c r="DM238" s="5">
        <v>-9.4422895159757603E-2</v>
      </c>
      <c r="DN238" s="5">
        <v>-0.11501598542057501</v>
      </c>
      <c r="DO238" s="5">
        <v>5.8621531054256999E-2</v>
      </c>
      <c r="DP238" s="5">
        <v>0.30775150830210601</v>
      </c>
      <c r="DQ238" s="5">
        <v>-5.0199055885677898E-2</v>
      </c>
      <c r="DR238" s="5">
        <v>0.14533939288980799</v>
      </c>
      <c r="DS238" s="5">
        <v>3.01130377795535E-2</v>
      </c>
      <c r="DT238" s="5">
        <v>6.7778085943490204E-2</v>
      </c>
      <c r="DU238" s="5">
        <v>0.13694878780678699</v>
      </c>
      <c r="DV238" s="5">
        <v>0.53021075659907402</v>
      </c>
      <c r="DW238" s="5">
        <v>-0.210052570006658</v>
      </c>
      <c r="DX238" s="5">
        <v>-9.0468881051916899E-4</v>
      </c>
      <c r="DY238" s="5">
        <v>6.6062001743719095E-2</v>
      </c>
      <c r="DZ238" s="5">
        <v>4.9601799630957497E-2</v>
      </c>
      <c r="EA238" s="5">
        <v>-3.5826819298341403E-2</v>
      </c>
      <c r="EB238" s="5">
        <v>0.59515302811206205</v>
      </c>
      <c r="EC238" s="5">
        <v>-0.19314057245619001</v>
      </c>
      <c r="ED238" s="5">
        <v>0.58648091316765105</v>
      </c>
      <c r="EE238" s="5">
        <v>-0.16225213091444499</v>
      </c>
      <c r="EF238" s="5">
        <v>0.38360470101896599</v>
      </c>
      <c r="EG238" s="5">
        <v>-0.13435158559985999</v>
      </c>
      <c r="EH238" s="5">
        <v>0.60837969072781295</v>
      </c>
      <c r="EI238" s="5">
        <v>-0.17791934532662501</v>
      </c>
      <c r="EJ238" s="5">
        <v>0.66478274482239397</v>
      </c>
      <c r="EK238" s="5">
        <v>-0.23349318936670399</v>
      </c>
      <c r="EL238" s="5">
        <v>0.55717141289079597</v>
      </c>
      <c r="EM238" s="5">
        <v>-0.177805962133434</v>
      </c>
      <c r="EN238" s="5">
        <v>0.101961652962877</v>
      </c>
      <c r="EO238" s="5">
        <v>0.19102804870558701</v>
      </c>
      <c r="EP238" s="5">
        <v>0.42261636521004398</v>
      </c>
      <c r="EQ238" s="5">
        <v>-0.173151608677234</v>
      </c>
      <c r="ER238" s="5">
        <v>0.38315219000025402</v>
      </c>
      <c r="ES238" s="5">
        <v>-9.1246044591843396E-3</v>
      </c>
      <c r="ET238" s="5">
        <v>0.53632324213586402</v>
      </c>
      <c r="EU238" s="5">
        <v>-0.26219287050276402</v>
      </c>
      <c r="EV238" s="5">
        <v>0.35939049377338</v>
      </c>
      <c r="EW238" s="5">
        <v>-6.0593577864501702E-2</v>
      </c>
      <c r="EX238" s="5">
        <v>0.29765049765826701</v>
      </c>
      <c r="EY238" s="5">
        <v>-4.5939338864839002E-2</v>
      </c>
      <c r="EZ238" s="5">
        <v>0.39405944229961398</v>
      </c>
      <c r="FA238" s="5">
        <v>-9.2193211339209793E-3</v>
      </c>
      <c r="FB238" s="5">
        <v>0.20267617094580001</v>
      </c>
      <c r="FC238" s="5">
        <v>-1.3309936509473101E-2</v>
      </c>
      <c r="FD238" s="5">
        <v>0.46811312009485201</v>
      </c>
      <c r="FE238" s="5">
        <v>-0.19062073883155001</v>
      </c>
      <c r="FF238" s="5">
        <v>0.21584257630322901</v>
      </c>
      <c r="FG238" s="5">
        <v>-7.4762542044095506E-2</v>
      </c>
      <c r="FH238" s="5">
        <v>0.45870107001657101</v>
      </c>
      <c r="FI238" s="5">
        <v>-3.6534533799522803E-2</v>
      </c>
      <c r="FJ238" s="5">
        <v>0.41268048826860898</v>
      </c>
      <c r="FK238" s="5">
        <v>1.8753382992795699E-2</v>
      </c>
      <c r="FL238" s="5">
        <v>-6.9734150512701307E-2</v>
      </c>
      <c r="FM238" s="5">
        <v>0.16488144790263201</v>
      </c>
      <c r="FN238" s="5">
        <v>0.45070534607565099</v>
      </c>
      <c r="FO238" s="5">
        <v>-5.8380762469078001E-2</v>
      </c>
      <c r="FP238" s="5">
        <v>0.43941659588291998</v>
      </c>
      <c r="FQ238" s="5">
        <v>-6.4925337467990396E-2</v>
      </c>
      <c r="FR238" s="5">
        <v>-7.7774003313602305E-2</v>
      </c>
      <c r="FS238" s="5">
        <v>0.16862969468035099</v>
      </c>
      <c r="FT238" s="5">
        <v>0.31021762946193499</v>
      </c>
      <c r="FU238" s="5">
        <v>0.100761922237008</v>
      </c>
      <c r="FV238" s="5">
        <v>0.204165633579237</v>
      </c>
      <c r="FW238" s="5">
        <v>8.9818349111102896E-2</v>
      </c>
      <c r="FX238" s="5">
        <v>0.47055217022940299</v>
      </c>
      <c r="FY238" s="5">
        <v>-0.22532079060462101</v>
      </c>
      <c r="FZ238" s="5">
        <v>0.41336253393885303</v>
      </c>
      <c r="GA238" s="5">
        <v>2.8196870411286799E-2</v>
      </c>
      <c r="GB238" s="5">
        <v>0.150368951133312</v>
      </c>
      <c r="GC238" s="5">
        <v>0.10455295403128501</v>
      </c>
      <c r="GD238" s="5">
        <v>-4.9008055987770797E-2</v>
      </c>
      <c r="GE238" s="5">
        <v>6.4139191426306599E-2</v>
      </c>
      <c r="GF238" s="5">
        <v>0.36377991284439298</v>
      </c>
      <c r="GG238" s="5">
        <v>2.2243862654588099E-2</v>
      </c>
      <c r="GH238" s="5">
        <v>-0.17282446084432199</v>
      </c>
      <c r="GI238" s="5">
        <v>9.4383040947430802E-2</v>
      </c>
      <c r="GJ238" s="5">
        <v>0.53036145826743197</v>
      </c>
      <c r="GK238" s="5">
        <v>-0.267541169063511</v>
      </c>
      <c r="GL238" s="5">
        <v>0.424737400757072</v>
      </c>
      <c r="GM238" s="5">
        <v>-0.18629953597490101</v>
      </c>
      <c r="GN238" s="5">
        <v>0.19768351849202301</v>
      </c>
      <c r="GO238" s="5">
        <v>6.45899633595277E-2</v>
      </c>
      <c r="GP238" s="5">
        <v>0.49753900389871197</v>
      </c>
      <c r="GQ238" s="5">
        <v>-0.13676772462094</v>
      </c>
      <c r="GR238" s="5">
        <v>0.46656172862685202</v>
      </c>
      <c r="GS238" s="5">
        <v>-0.187392356296675</v>
      </c>
      <c r="GT238" s="5">
        <v>0.236606008850689</v>
      </c>
      <c r="GU238" s="5">
        <v>0.15530683942474099</v>
      </c>
      <c r="GV238" s="5">
        <v>0.56209147574762497</v>
      </c>
      <c r="GW238" s="5">
        <v>-0.25938167155094599</v>
      </c>
      <c r="GX238" s="5">
        <v>0.34805840834637197</v>
      </c>
      <c r="GY238" s="5">
        <v>-1.29229338865634E-2</v>
      </c>
      <c r="GZ238" s="5">
        <v>9.6853040096474802E-2</v>
      </c>
      <c r="HA238" s="5">
        <v>-0.13191193134197199</v>
      </c>
      <c r="HB238" s="5">
        <v>0.45899544864032099</v>
      </c>
      <c r="HC238" s="5">
        <v>-0.12016231989293701</v>
      </c>
      <c r="HD238" s="5">
        <v>0.157575529260467</v>
      </c>
      <c r="HE238" s="5">
        <v>0.24588984192925101</v>
      </c>
      <c r="HF238" s="5">
        <v>4.78815322356064E-2</v>
      </c>
      <c r="HG238" s="5">
        <v>-4.46895054286192E-2</v>
      </c>
      <c r="HH238" s="5">
        <v>0.112808117026114</v>
      </c>
      <c r="HI238" s="5">
        <v>-4.1405259144735501E-2</v>
      </c>
      <c r="HJ238" s="5">
        <v>3.06718454970124E-2</v>
      </c>
      <c r="HK238" s="5">
        <v>-4.2868936954825798E-2</v>
      </c>
      <c r="HL238" s="5">
        <v>0.37533910722225999</v>
      </c>
      <c r="HM238" s="5">
        <v>2.7871633084390998E-3</v>
      </c>
      <c r="HN238" s="5">
        <v>0.170389698050702</v>
      </c>
      <c r="HO238" s="5">
        <v>-3.7495532193725402E-2</v>
      </c>
      <c r="HP238" s="5">
        <v>0.66663960461494098</v>
      </c>
      <c r="HQ238" s="5">
        <v>-0.32244133145758103</v>
      </c>
      <c r="HR238" s="5">
        <v>0.481302837292376</v>
      </c>
      <c r="HS238" s="5">
        <v>-0.12658795935235101</v>
      </c>
      <c r="HT238" s="5">
        <v>0.17202263570745399</v>
      </c>
      <c r="HU238" s="5">
        <v>-1.4061016483418E-3</v>
      </c>
      <c r="HV238" s="5">
        <v>0.467517341468141</v>
      </c>
      <c r="HW238" s="5">
        <v>-4.93657764972876E-2</v>
      </c>
      <c r="HX238" s="5">
        <v>0.415382462056753</v>
      </c>
      <c r="HY238" s="5">
        <v>-1.50728739255373E-2</v>
      </c>
      <c r="HZ238" s="5">
        <v>0.17703348568905899</v>
      </c>
      <c r="IA238" s="5">
        <v>-0.136102453738353</v>
      </c>
      <c r="IB238" s="5">
        <v>-1.44914101528001E-2</v>
      </c>
      <c r="IC238" s="5">
        <v>-5.0864984041816899E-2</v>
      </c>
      <c r="ID238" s="5">
        <v>1</v>
      </c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</row>
    <row r="239" spans="1:389" x14ac:dyDescent="0.45">
      <c r="A239" s="4" t="str">
        <f ca="1">"MOZ / beta2dist in "&amp;CELL("address",'damages-1990'!$K$120)</f>
        <v>MOZ / beta2dist in '[BHM betas v3pd.xlsx]damages-1990'!$K$120</v>
      </c>
      <c r="B239" s="6">
        <v>-0.12923114771421201</v>
      </c>
      <c r="C239" s="5">
        <v>0.22595390563930601</v>
      </c>
      <c r="D239" s="5">
        <v>-0.38897972471612402</v>
      </c>
      <c r="E239" s="5">
        <v>0.51252263816018095</v>
      </c>
      <c r="F239" s="5">
        <v>-7.1924525319532501E-2</v>
      </c>
      <c r="G239" s="5">
        <v>0.12739416093702799</v>
      </c>
      <c r="H239" s="5">
        <v>-0.174036571917389</v>
      </c>
      <c r="I239" s="5">
        <v>0.13241925581189001</v>
      </c>
      <c r="J239" s="5">
        <v>-0.21763776089396999</v>
      </c>
      <c r="K239" s="5">
        <v>0.36919188408391301</v>
      </c>
      <c r="L239" s="5">
        <v>-4.6562934095460903E-2</v>
      </c>
      <c r="M239" s="5">
        <v>6.5736025228945297E-2</v>
      </c>
      <c r="N239" s="5">
        <v>-4.9097425749600999E-2</v>
      </c>
      <c r="O239" s="5">
        <v>3.7460569726283199E-2</v>
      </c>
      <c r="P239" s="5">
        <v>-0.40038415177847397</v>
      </c>
      <c r="Q239" s="5">
        <v>0.47342544657380897</v>
      </c>
      <c r="R239" s="5">
        <v>-4.8447352098644203E-2</v>
      </c>
      <c r="S239" s="5">
        <v>0.20903674073286599</v>
      </c>
      <c r="T239" s="5">
        <v>-0.426065857282593</v>
      </c>
      <c r="U239" s="5">
        <v>0.46418026635929899</v>
      </c>
      <c r="V239" s="5">
        <v>-2.95547096677371E-2</v>
      </c>
      <c r="W239" s="5">
        <v>5.5643903428253101E-2</v>
      </c>
      <c r="X239" s="5">
        <v>-0.419310608285481</v>
      </c>
      <c r="Y239" s="5">
        <v>0.55501635072699895</v>
      </c>
      <c r="Z239" s="5">
        <v>-0.24472692837104801</v>
      </c>
      <c r="AA239" s="5">
        <v>0.29390608816766201</v>
      </c>
      <c r="AB239" s="5">
        <v>-0.44814741527989299</v>
      </c>
      <c r="AC239" s="5">
        <v>0.499091257516806</v>
      </c>
      <c r="AD239" s="5">
        <v>-0.431129940406831</v>
      </c>
      <c r="AE239" s="5">
        <v>0.456765677519688</v>
      </c>
      <c r="AF239" s="5">
        <v>0.21828950762195101</v>
      </c>
      <c r="AG239" s="5">
        <v>-0.126564158297513</v>
      </c>
      <c r="AH239" s="5">
        <v>-0.183148515413524</v>
      </c>
      <c r="AI239" s="5">
        <v>0.25357969222318399</v>
      </c>
      <c r="AJ239" s="5">
        <v>-0.15019533372284599</v>
      </c>
      <c r="AK239" s="5">
        <v>0.32450321172402202</v>
      </c>
      <c r="AL239" s="5">
        <v>0.13832306024143001</v>
      </c>
      <c r="AM239" s="5">
        <v>-8.8915219361242401E-2</v>
      </c>
      <c r="AN239" s="5">
        <v>-0.32560228056703</v>
      </c>
      <c r="AO239" s="5">
        <v>0.40917964127525402</v>
      </c>
      <c r="AP239" s="5">
        <v>-0.32309271646484899</v>
      </c>
      <c r="AQ239" s="5">
        <v>0.34995307622367</v>
      </c>
      <c r="AR239" s="5">
        <v>5.6879199381984401E-2</v>
      </c>
      <c r="AS239" s="5">
        <v>-2.11618554477444E-3</v>
      </c>
      <c r="AT239" s="5">
        <v>0.30738574400948798</v>
      </c>
      <c r="AU239" s="5">
        <v>-0.289352768980978</v>
      </c>
      <c r="AV239" s="5">
        <v>1.5915653580305798E-2</v>
      </c>
      <c r="AW239" s="5">
        <v>0.120267789165046</v>
      </c>
      <c r="AX239" s="5">
        <v>-8.7210178236900193E-2</v>
      </c>
      <c r="AY239" s="5">
        <v>0.26357993096292898</v>
      </c>
      <c r="AZ239" s="5">
        <v>-0.358418653794918</v>
      </c>
      <c r="BA239" s="5">
        <v>0.405102600298482</v>
      </c>
      <c r="BB239" s="5">
        <v>-0.12771674947020101</v>
      </c>
      <c r="BC239" s="5">
        <v>0.26441136570288298</v>
      </c>
      <c r="BD239" s="5">
        <v>-0.13612240210524901</v>
      </c>
      <c r="BE239" s="5">
        <v>0.226145371726409</v>
      </c>
      <c r="BF239" s="5">
        <v>-0.400083793389029</v>
      </c>
      <c r="BG239" s="5">
        <v>0.52930991564954799</v>
      </c>
      <c r="BH239" s="5">
        <v>-0.33497228061615197</v>
      </c>
      <c r="BI239" s="5">
        <v>0.42581466923393901</v>
      </c>
      <c r="BJ239" s="5">
        <v>-0.27717798026167101</v>
      </c>
      <c r="BK239" s="5">
        <v>0.149825619929356</v>
      </c>
      <c r="BL239" s="5">
        <v>-0.36320841783539998</v>
      </c>
      <c r="BM239" s="5">
        <v>0.37422714118778</v>
      </c>
      <c r="BN239" s="5">
        <v>-3.6114659771006502E-2</v>
      </c>
      <c r="BO239" s="5">
        <v>1.12372576513765E-2</v>
      </c>
      <c r="BP239" s="5">
        <v>-0.197876696305298</v>
      </c>
      <c r="BQ239" s="5">
        <v>0.19515616644581299</v>
      </c>
      <c r="BR239" s="5">
        <v>-0.43815262148853701</v>
      </c>
      <c r="BS239" s="5">
        <v>0.48887934821586898</v>
      </c>
      <c r="BT239" s="5">
        <v>-0.24842997904531899</v>
      </c>
      <c r="BU239" s="5">
        <v>0.38970820241792897</v>
      </c>
      <c r="BV239" s="5">
        <v>-0.36843539840887202</v>
      </c>
      <c r="BW239" s="5">
        <v>0.48601075247748299</v>
      </c>
      <c r="BX239" s="5">
        <v>-0.32228258670271298</v>
      </c>
      <c r="BY239" s="5">
        <v>0.41516520763951897</v>
      </c>
      <c r="BZ239" s="5">
        <v>-0.199085252473538</v>
      </c>
      <c r="CA239" s="5">
        <v>0.32588104196916101</v>
      </c>
      <c r="CB239" s="5">
        <v>-3.0876880245108099E-2</v>
      </c>
      <c r="CC239" s="5">
        <v>0.122926438660687</v>
      </c>
      <c r="CD239" s="5">
        <v>-0.17112439873450699</v>
      </c>
      <c r="CE239" s="5">
        <v>0.22987315105582101</v>
      </c>
      <c r="CF239" s="5">
        <v>-0.2462931630762</v>
      </c>
      <c r="CG239" s="5">
        <v>0.28652104115390897</v>
      </c>
      <c r="CH239" s="5">
        <v>0.164812804886555</v>
      </c>
      <c r="CI239" s="5">
        <v>-0.10523850046408501</v>
      </c>
      <c r="CJ239" s="5">
        <v>0.24326580814249399</v>
      </c>
      <c r="CK239" s="5">
        <v>-0.15496993524097799</v>
      </c>
      <c r="CL239" s="5">
        <v>-0.39095838939025701</v>
      </c>
      <c r="CM239" s="5">
        <v>0.44123810544936098</v>
      </c>
      <c r="CN239" s="5">
        <v>-0.32693962888075701</v>
      </c>
      <c r="CO239" s="5">
        <v>0.38320190107851299</v>
      </c>
      <c r="CP239" s="5">
        <v>-0.30892906486438898</v>
      </c>
      <c r="CQ239" s="5">
        <v>0.29193640230652201</v>
      </c>
      <c r="CR239" s="5">
        <v>-0.34552308853583302</v>
      </c>
      <c r="CS239" s="5">
        <v>0.39192757936429901</v>
      </c>
      <c r="CT239" s="5">
        <v>-0.364820768387772</v>
      </c>
      <c r="CU239" s="5">
        <v>0.394142736312807</v>
      </c>
      <c r="CV239" s="5">
        <v>-0.39577631637789901</v>
      </c>
      <c r="CW239" s="5">
        <v>0.45938629384392698</v>
      </c>
      <c r="CX239" s="5">
        <v>-6.8157874176448599E-2</v>
      </c>
      <c r="CY239" s="5">
        <v>0.191010876757191</v>
      </c>
      <c r="CZ239" s="5">
        <v>-0.26076458106435801</v>
      </c>
      <c r="DA239" s="5">
        <v>0.41435287663882397</v>
      </c>
      <c r="DB239" s="5">
        <v>2.53026482286683E-2</v>
      </c>
      <c r="DC239" s="5">
        <v>7.9426067794443597E-2</v>
      </c>
      <c r="DD239" s="5">
        <v>-0.33511207888890798</v>
      </c>
      <c r="DE239" s="5">
        <v>0.33382268212857102</v>
      </c>
      <c r="DF239" s="5">
        <v>-5.2723038435731798E-2</v>
      </c>
      <c r="DG239" s="5">
        <v>0.13679030941318701</v>
      </c>
      <c r="DH239" s="5">
        <v>-7.7683287001018494E-2</v>
      </c>
      <c r="DI239" s="5">
        <v>0.200963558125171</v>
      </c>
      <c r="DJ239" s="5">
        <v>-0.31002905000866798</v>
      </c>
      <c r="DK239" s="5">
        <v>0.33070367807786999</v>
      </c>
      <c r="DL239" s="5">
        <v>-0.324897199099631</v>
      </c>
      <c r="DM239" s="5">
        <v>0.39163988377852399</v>
      </c>
      <c r="DN239" s="5">
        <v>-0.25919332780714099</v>
      </c>
      <c r="DO239" s="5">
        <v>0.25080870752690398</v>
      </c>
      <c r="DP239" s="5">
        <v>0.13688458995664199</v>
      </c>
      <c r="DQ239" s="5">
        <v>-6.3856374602896906E-2</v>
      </c>
      <c r="DR239" s="5">
        <v>-0.17011700848030201</v>
      </c>
      <c r="DS239" s="5">
        <v>0.25331776907783499</v>
      </c>
      <c r="DT239" s="5">
        <v>0.11506506693386399</v>
      </c>
      <c r="DU239" s="5">
        <v>-8.0861822139010206E-2</v>
      </c>
      <c r="DV239" s="5">
        <v>-0.37726637387425799</v>
      </c>
      <c r="DW239" s="5">
        <v>0.47398213847708098</v>
      </c>
      <c r="DX239" s="5">
        <v>-0.21440030364843801</v>
      </c>
      <c r="DY239" s="5">
        <v>0.20871200005364299</v>
      </c>
      <c r="DZ239" s="5">
        <v>-0.11206144595154401</v>
      </c>
      <c r="EA239" s="5">
        <v>0.14592393626042</v>
      </c>
      <c r="EB239" s="5">
        <v>-0.41247153509025303</v>
      </c>
      <c r="EC239" s="5">
        <v>0.46539491051988102</v>
      </c>
      <c r="ED239" s="5">
        <v>-0.384841538907298</v>
      </c>
      <c r="EE239" s="5">
        <v>0.45427682103776401</v>
      </c>
      <c r="EF239" s="5">
        <v>-0.39330301546366803</v>
      </c>
      <c r="EG239" s="5">
        <v>0.44196142184557902</v>
      </c>
      <c r="EH239" s="5">
        <v>-0.34800368742360499</v>
      </c>
      <c r="EI239" s="5">
        <v>0.42741385747094401</v>
      </c>
      <c r="EJ239" s="5">
        <v>-0.43880549694314802</v>
      </c>
      <c r="EK239" s="5">
        <v>0.52347608993408501</v>
      </c>
      <c r="EL239" s="5">
        <v>-0.18051037696948999</v>
      </c>
      <c r="EM239" s="5">
        <v>0.271789282637799</v>
      </c>
      <c r="EN239" s="5">
        <v>0.22623329071909101</v>
      </c>
      <c r="EO239" s="5">
        <v>-0.21274973004366099</v>
      </c>
      <c r="EP239" s="5">
        <v>-0.34832714788024</v>
      </c>
      <c r="EQ239" s="5">
        <v>0.40891202954975397</v>
      </c>
      <c r="ER239" s="5">
        <v>2.9946676997509001E-2</v>
      </c>
      <c r="ES239" s="5">
        <v>5.9387854405977401E-2</v>
      </c>
      <c r="ET239" s="5">
        <v>-0.18951727892846901</v>
      </c>
      <c r="EU239" s="5">
        <v>0.35761050520701498</v>
      </c>
      <c r="EV239" s="5">
        <v>-2.4790227347917599E-2</v>
      </c>
      <c r="EW239" s="5">
        <v>0.19023765603145901</v>
      </c>
      <c r="EX239" s="5">
        <v>0.16138312133135499</v>
      </c>
      <c r="EY239" s="5">
        <v>-2.5023262102500599E-2</v>
      </c>
      <c r="EZ239" s="5">
        <v>-2.0797312485095702E-2</v>
      </c>
      <c r="FA239" s="5">
        <v>0.111863597931093</v>
      </c>
      <c r="FB239" s="5">
        <v>-0.18376021015184099</v>
      </c>
      <c r="FC239" s="5">
        <v>0.263206277158817</v>
      </c>
      <c r="FD239" s="5">
        <v>-0.250907632435868</v>
      </c>
      <c r="FE239" s="5">
        <v>0.337287889887953</v>
      </c>
      <c r="FF239" s="5">
        <v>-0.24975087998751</v>
      </c>
      <c r="FG239" s="5">
        <v>0.32689243034925303</v>
      </c>
      <c r="FH239" s="5">
        <v>0.137143402949087</v>
      </c>
      <c r="FI239" s="5">
        <v>-0.20719819690285399</v>
      </c>
      <c r="FJ239" s="5">
        <v>-0.104184744782248</v>
      </c>
      <c r="FK239" s="5">
        <v>0.22897064830462199</v>
      </c>
      <c r="FL239" s="5">
        <v>-4.1035246665165698E-2</v>
      </c>
      <c r="FM239" s="5">
        <v>-4.2215851829290503E-3</v>
      </c>
      <c r="FN239" s="5">
        <v>-0.20624184970502901</v>
      </c>
      <c r="FO239" s="5">
        <v>0.30716231075540401</v>
      </c>
      <c r="FP239" s="5">
        <v>-9.4135765427673296E-2</v>
      </c>
      <c r="FQ239" s="5">
        <v>0.17636799782898699</v>
      </c>
      <c r="FR239" s="5">
        <v>5.9556994916377802E-2</v>
      </c>
      <c r="FS239" s="5">
        <v>-0.26726094890033902</v>
      </c>
      <c r="FT239" s="5">
        <v>7.4214261354774699E-2</v>
      </c>
      <c r="FU239" s="5">
        <v>2.38834230318963E-3</v>
      </c>
      <c r="FV239" s="5">
        <v>-3.9263440791255599E-2</v>
      </c>
      <c r="FW239" s="5">
        <v>9.5016240518607104E-2</v>
      </c>
      <c r="FX239" s="5">
        <v>-0.18909102539320299</v>
      </c>
      <c r="FY239" s="5">
        <v>0.30308633579789901</v>
      </c>
      <c r="FZ239" s="5">
        <v>-2.63139135801248E-2</v>
      </c>
      <c r="GA239" s="5">
        <v>0.107908785587651</v>
      </c>
      <c r="GB239" s="5">
        <v>-0.15197309985507301</v>
      </c>
      <c r="GC239" s="5">
        <v>0.22934833501319199</v>
      </c>
      <c r="GD239" s="5">
        <v>-0.16305302395174801</v>
      </c>
      <c r="GE239" s="5">
        <v>0.16719667715983699</v>
      </c>
      <c r="GF239" s="5">
        <v>-3.6892944086194597E-2</v>
      </c>
      <c r="GG239" s="5">
        <v>0.196069529878281</v>
      </c>
      <c r="GH239" s="5">
        <v>6.5590630508483502E-2</v>
      </c>
      <c r="GI239" s="5">
        <v>-0.196763676260057</v>
      </c>
      <c r="GJ239" s="5">
        <v>-8.1814016966297601E-2</v>
      </c>
      <c r="GK239" s="5">
        <v>0.23074390340501599</v>
      </c>
      <c r="GL239" s="5">
        <v>-0.45322011005356</v>
      </c>
      <c r="GM239" s="5">
        <v>0.50686242992269004</v>
      </c>
      <c r="GN239" s="5">
        <v>-0.14880938998241</v>
      </c>
      <c r="GO239" s="5">
        <v>0.26499818673574599</v>
      </c>
      <c r="GP239" s="5">
        <v>-0.17435670965786301</v>
      </c>
      <c r="GQ239" s="5">
        <v>0.30188272349460699</v>
      </c>
      <c r="GR239" s="5">
        <v>-4.1863897972740899E-2</v>
      </c>
      <c r="GS239" s="5">
        <v>0.18029332411639701</v>
      </c>
      <c r="GT239" s="5">
        <v>6.6850277725943694E-2</v>
      </c>
      <c r="GU239" s="5">
        <v>-7.1814522885693705E-2</v>
      </c>
      <c r="GV239" s="5">
        <v>-0.38435792480159697</v>
      </c>
      <c r="GW239" s="5">
        <v>0.50290037626751805</v>
      </c>
      <c r="GX239" s="5">
        <v>3.4807595041721297E-2</v>
      </c>
      <c r="GY239" s="5">
        <v>6.5185678745778103E-2</v>
      </c>
      <c r="GZ239" s="5">
        <v>-0.38416685123201699</v>
      </c>
      <c r="HA239" s="5">
        <v>0.397973064669778</v>
      </c>
      <c r="HB239" s="5">
        <v>-8.16486339520969E-2</v>
      </c>
      <c r="HC239" s="5">
        <v>0.22675815445529399</v>
      </c>
      <c r="HD239" s="5">
        <v>-7.3909614374791294E-2</v>
      </c>
      <c r="HE239" s="5">
        <v>0.11077758748064299</v>
      </c>
      <c r="HF239" s="5">
        <v>-0.34401467128005597</v>
      </c>
      <c r="HG239" s="5">
        <v>0.37185394125846799</v>
      </c>
      <c r="HH239" s="5">
        <v>-0.27026189529099998</v>
      </c>
      <c r="HI239" s="5">
        <v>0.31924885176456802</v>
      </c>
      <c r="HJ239" s="5">
        <v>-0.34232849364323098</v>
      </c>
      <c r="HK239" s="5">
        <v>0.36754160525638002</v>
      </c>
      <c r="HL239" s="5">
        <v>-8.8673502698129097E-2</v>
      </c>
      <c r="HM239" s="5">
        <v>0.20690185060698099</v>
      </c>
      <c r="HN239" s="5">
        <v>-0.22831825630917499</v>
      </c>
      <c r="HO239" s="5">
        <v>0.30400832404295403</v>
      </c>
      <c r="HP239" s="5">
        <v>-0.24224493932522101</v>
      </c>
      <c r="HQ239" s="5">
        <v>0.453437076767782</v>
      </c>
      <c r="HR239" s="5">
        <v>3.0086245297007898E-3</v>
      </c>
      <c r="HS239" s="5">
        <v>0.135810350927872</v>
      </c>
      <c r="HT239" s="5">
        <v>-0.211267764611795</v>
      </c>
      <c r="HU239" s="5">
        <v>0.28833386239806702</v>
      </c>
      <c r="HV239" s="5">
        <v>-0.21671903724303901</v>
      </c>
      <c r="HW239" s="5">
        <v>0.27416119559159702</v>
      </c>
      <c r="HX239" s="5">
        <v>1.1540937688881901E-2</v>
      </c>
      <c r="HY239" s="5">
        <v>0.107683729719235</v>
      </c>
      <c r="HZ239" s="5">
        <v>-0.37021109527271401</v>
      </c>
      <c r="IA239" s="5">
        <v>0.44716714201784202</v>
      </c>
      <c r="IB239" s="5">
        <v>-0.24329217809301401</v>
      </c>
      <c r="IC239" s="5">
        <v>0.203637172739846</v>
      </c>
      <c r="ID239" s="5">
        <v>-0.69720501016641601</v>
      </c>
      <c r="IE239" s="5">
        <v>1</v>
      </c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</row>
    <row r="240" spans="1:389" x14ac:dyDescent="0.45">
      <c r="A240" s="4" t="str">
        <f ca="1">"MRT / beta1dist in "&amp;CELL("address",'damages-1990'!$J$121)</f>
        <v>MRT / beta1dist in '[BHM betas v3pd.xlsx]damages-1990'!$J$121</v>
      </c>
      <c r="B240" s="6">
        <v>0.33451262953767302</v>
      </c>
      <c r="C240" s="5">
        <v>-4.4585345852259102E-2</v>
      </c>
      <c r="D240" s="5">
        <v>0.49076953676912499</v>
      </c>
      <c r="E240" s="5">
        <v>-0.16405448250600199</v>
      </c>
      <c r="F240" s="5">
        <v>0.151982545933015</v>
      </c>
      <c r="G240" s="5">
        <v>9.2241327465149098E-2</v>
      </c>
      <c r="H240" s="5">
        <v>-0.22252994994775199</v>
      </c>
      <c r="I240" s="5">
        <v>0.23162419146320401</v>
      </c>
      <c r="J240" s="5">
        <v>0.612447767497593</v>
      </c>
      <c r="K240" s="5">
        <v>-0.32790599268253701</v>
      </c>
      <c r="L240" s="5">
        <v>0.425555748921428</v>
      </c>
      <c r="M240" s="5">
        <v>-0.105094944104046</v>
      </c>
      <c r="N240" s="5">
        <v>-0.20640855089233401</v>
      </c>
      <c r="O240" s="5">
        <v>0.28032231492074899</v>
      </c>
      <c r="P240" s="5">
        <v>0.34739181309134098</v>
      </c>
      <c r="Q240" s="5">
        <v>-0.16404435986058</v>
      </c>
      <c r="R240" s="5">
        <v>0.56594792890485801</v>
      </c>
      <c r="S240" s="5">
        <v>-0.26127185174117901</v>
      </c>
      <c r="T240" s="5">
        <v>-5.79775477663865E-2</v>
      </c>
      <c r="U240" s="5">
        <v>8.1455548218842502E-2</v>
      </c>
      <c r="V240" s="5">
        <v>0.20257775571922501</v>
      </c>
      <c r="W240" s="5">
        <v>0.185268079746472</v>
      </c>
      <c r="X240" s="5">
        <v>0.39602377232288599</v>
      </c>
      <c r="Y240" s="5">
        <v>-7.7429032817748406E-2</v>
      </c>
      <c r="Z240" s="5">
        <v>-5.3133909821220402E-3</v>
      </c>
      <c r="AA240" s="5">
        <v>0.108026944278448</v>
      </c>
      <c r="AB240" s="5">
        <v>0.55157016916131596</v>
      </c>
      <c r="AC240" s="5">
        <v>-0.36130110096373003</v>
      </c>
      <c r="AD240" s="5">
        <v>0.65808543164073996</v>
      </c>
      <c r="AE240" s="5">
        <v>-0.40972853959316302</v>
      </c>
      <c r="AF240" s="5">
        <v>0.40051671222836499</v>
      </c>
      <c r="AG240" s="5">
        <v>-0.16985703747823999</v>
      </c>
      <c r="AH240" s="5">
        <v>9.8703418050912595E-2</v>
      </c>
      <c r="AI240" s="5">
        <v>0.109848809211073</v>
      </c>
      <c r="AJ240" s="5">
        <v>0.62107148904578002</v>
      </c>
      <c r="AK240" s="5">
        <v>-0.344888514309035</v>
      </c>
      <c r="AL240" s="5">
        <v>0.18210418803415099</v>
      </c>
      <c r="AM240" s="5">
        <v>2.3115488194543E-2</v>
      </c>
      <c r="AN240" s="5">
        <v>9.5755220306274792E-3</v>
      </c>
      <c r="AO240" s="5">
        <v>0.115742947230493</v>
      </c>
      <c r="AP240" s="5">
        <v>-5.9801432350879001E-2</v>
      </c>
      <c r="AQ240" s="5">
        <v>9.3046506803860493E-2</v>
      </c>
      <c r="AR240" s="5">
        <v>0.43785069617830802</v>
      </c>
      <c r="AS240" s="5">
        <v>-0.17814685972855501</v>
      </c>
      <c r="AT240" s="5">
        <v>0.228222094346369</v>
      </c>
      <c r="AU240" s="5">
        <v>-6.2438468048191899E-2</v>
      </c>
      <c r="AV240" s="5">
        <v>0.57491878233364002</v>
      </c>
      <c r="AW240" s="5">
        <v>-0.32666325448233402</v>
      </c>
      <c r="AX240" s="5">
        <v>0.58407901593130396</v>
      </c>
      <c r="AY240" s="5">
        <v>-0.31645490363890799</v>
      </c>
      <c r="AZ240" s="5">
        <v>0.45068328344483399</v>
      </c>
      <c r="BA240" s="5">
        <v>-0.303655716959706</v>
      </c>
      <c r="BB240" s="5">
        <v>0.513368569287869</v>
      </c>
      <c r="BC240" s="5">
        <v>-0.20449312634408701</v>
      </c>
      <c r="BD240" s="5">
        <v>0.147719070847871</v>
      </c>
      <c r="BE240" s="5">
        <v>0.14696638339122001</v>
      </c>
      <c r="BF240" s="5">
        <v>0.45164862268010397</v>
      </c>
      <c r="BG240" s="5">
        <v>-0.18762125430332399</v>
      </c>
      <c r="BH240" s="5">
        <v>0.58344922727916704</v>
      </c>
      <c r="BI240" s="5">
        <v>-0.31775185342295498</v>
      </c>
      <c r="BJ240" s="5">
        <v>-0.38468999182879698</v>
      </c>
      <c r="BK240" s="5">
        <v>0.34243427513687102</v>
      </c>
      <c r="BL240" s="5">
        <v>-7.6813818033255196E-2</v>
      </c>
      <c r="BM240" s="5">
        <v>8.8594840864044205E-2</v>
      </c>
      <c r="BN240" s="5">
        <v>-0.12083766409857601</v>
      </c>
      <c r="BO240" s="5">
        <v>0.219955568708295</v>
      </c>
      <c r="BP240" s="5">
        <v>-0.16105362895440301</v>
      </c>
      <c r="BQ240" s="5">
        <v>0.30663632269983798</v>
      </c>
      <c r="BR240" s="5">
        <v>0.59328086144950498</v>
      </c>
      <c r="BS240" s="5">
        <v>-0.36297441792235302</v>
      </c>
      <c r="BT240" s="5">
        <v>0.64896509847405004</v>
      </c>
      <c r="BU240" s="5">
        <v>-0.40482041939684299</v>
      </c>
      <c r="BV240" s="5">
        <v>0.51326209916407495</v>
      </c>
      <c r="BW240" s="5">
        <v>-0.214877936756766</v>
      </c>
      <c r="BX240" s="5">
        <v>0.46935961627540501</v>
      </c>
      <c r="BY240" s="5">
        <v>-0.21676349677905499</v>
      </c>
      <c r="BZ240" s="5">
        <v>0.53785548187084997</v>
      </c>
      <c r="CA240" s="5">
        <v>-0.27343270850471302</v>
      </c>
      <c r="CB240" s="5">
        <v>0.24702539681775801</v>
      </c>
      <c r="CC240" s="5">
        <v>-9.0701089230666193E-2</v>
      </c>
      <c r="CD240" s="5">
        <v>0.37924556307079499</v>
      </c>
      <c r="CE240" s="5">
        <v>-0.24356660172806999</v>
      </c>
      <c r="CF240" s="5">
        <v>0.46200913242724201</v>
      </c>
      <c r="CG240" s="5">
        <v>-0.27422861005946497</v>
      </c>
      <c r="CH240" s="5">
        <v>0.15501192734150701</v>
      </c>
      <c r="CI240" s="5">
        <v>2.7221486319529999E-2</v>
      </c>
      <c r="CJ240" s="5">
        <v>0.19920073207003</v>
      </c>
      <c r="CK240" s="5">
        <v>4.59700231753287E-3</v>
      </c>
      <c r="CL240" s="5">
        <v>-3.7206611912002099E-2</v>
      </c>
      <c r="CM240" s="5">
        <v>0.103364095799653</v>
      </c>
      <c r="CN240" s="5">
        <v>-4.2973990147634901E-2</v>
      </c>
      <c r="CO240" s="5">
        <v>0.13449076478990499</v>
      </c>
      <c r="CP240" s="5">
        <v>0.48628497831235801</v>
      </c>
      <c r="CQ240" s="5">
        <v>-0.25337389580652597</v>
      </c>
      <c r="CR240" s="5">
        <v>0.36447074731199702</v>
      </c>
      <c r="CS240" s="5">
        <v>-0.179528398006819</v>
      </c>
      <c r="CT240" s="5">
        <v>-8.7815930217726601E-2</v>
      </c>
      <c r="CU240" s="5">
        <v>0.124845973270429</v>
      </c>
      <c r="CV240" s="5">
        <v>0.522996274323411</v>
      </c>
      <c r="CW240" s="5">
        <v>-0.26982444152695401</v>
      </c>
      <c r="CX240" s="5">
        <v>0.70623538163316901</v>
      </c>
      <c r="CY240" s="5">
        <v>-0.42869895943706898</v>
      </c>
      <c r="CZ240" s="5">
        <v>0.42455868756995502</v>
      </c>
      <c r="DA240" s="5">
        <v>-0.163506692766412</v>
      </c>
      <c r="DB240" s="5">
        <v>0.44664197146026102</v>
      </c>
      <c r="DC240" s="5">
        <v>-9.8993633698503294E-2</v>
      </c>
      <c r="DD240" s="5">
        <v>0.58106126369165401</v>
      </c>
      <c r="DE240" s="5">
        <v>-0.30644423386458902</v>
      </c>
      <c r="DF240" s="5">
        <v>0.67430345581890305</v>
      </c>
      <c r="DG240" s="5">
        <v>-0.42659972149062197</v>
      </c>
      <c r="DH240" s="5">
        <v>0.26540373030749498</v>
      </c>
      <c r="DI240" s="5">
        <v>3.3920493121200098E-3</v>
      </c>
      <c r="DJ240" s="5">
        <v>-0.116422974696229</v>
      </c>
      <c r="DK240" s="5">
        <v>0.116151094563225</v>
      </c>
      <c r="DL240" s="5">
        <v>0.38742564399210699</v>
      </c>
      <c r="DM240" s="5">
        <v>-0.112795934693376</v>
      </c>
      <c r="DN240" s="5">
        <v>-0.211741340129287</v>
      </c>
      <c r="DO240" s="5">
        <v>0.15801803700137701</v>
      </c>
      <c r="DP240" s="5">
        <v>0.443174818332431</v>
      </c>
      <c r="DQ240" s="5">
        <v>-0.187644943945216</v>
      </c>
      <c r="DR240" s="5">
        <v>6.4497284477803701E-2</v>
      </c>
      <c r="DS240" s="5">
        <v>0.106677877862939</v>
      </c>
      <c r="DT240" s="5">
        <v>0.33015115189419397</v>
      </c>
      <c r="DU240" s="5">
        <v>-0.1377409392277</v>
      </c>
      <c r="DV240" s="5">
        <v>0.39243592627428597</v>
      </c>
      <c r="DW240" s="5">
        <v>-0.178928223765147</v>
      </c>
      <c r="DX240" s="5">
        <v>5.8042764736416204E-3</v>
      </c>
      <c r="DY240" s="5">
        <v>-7.6537984822419997E-3</v>
      </c>
      <c r="DZ240" s="5">
        <v>-0.124581461807151</v>
      </c>
      <c r="EA240" s="5">
        <v>0.218267035380456</v>
      </c>
      <c r="EB240" s="5">
        <v>0.67097678241446701</v>
      </c>
      <c r="EC240" s="5">
        <v>-0.40838053484324699</v>
      </c>
      <c r="ED240" s="5">
        <v>0.619793538492174</v>
      </c>
      <c r="EE240" s="5">
        <v>-0.34873824321535102</v>
      </c>
      <c r="EF240" s="5">
        <v>0.34622892167567598</v>
      </c>
      <c r="EG240" s="5">
        <v>-0.16882131590117</v>
      </c>
      <c r="EH240" s="5">
        <v>0.671041108332459</v>
      </c>
      <c r="EI240" s="5">
        <v>-0.392752608975307</v>
      </c>
      <c r="EJ240" s="5">
        <v>0.67460981903222605</v>
      </c>
      <c r="EK240" s="5">
        <v>-0.38180070219288598</v>
      </c>
      <c r="EL240" s="5">
        <v>0.61904551613589598</v>
      </c>
      <c r="EM240" s="5">
        <v>-0.405403437428558</v>
      </c>
      <c r="EN240" s="5">
        <v>0.26564522972918098</v>
      </c>
      <c r="EO240" s="5">
        <v>-1.5854915573302601E-2</v>
      </c>
      <c r="EP240" s="5">
        <v>0.48582200584209101</v>
      </c>
      <c r="EQ240" s="5">
        <v>-0.31224187028424399</v>
      </c>
      <c r="ER240" s="5">
        <v>0.453532707408147</v>
      </c>
      <c r="ES240" s="5">
        <v>-0.14686084832315199</v>
      </c>
      <c r="ET240" s="5">
        <v>0.39872231109695799</v>
      </c>
      <c r="EU240" s="5">
        <v>-0.18442737720226399</v>
      </c>
      <c r="EV240" s="5">
        <v>0.48909393012318397</v>
      </c>
      <c r="EW240" s="5">
        <v>-0.28919779895227599</v>
      </c>
      <c r="EX240" s="5">
        <v>0.228700298577308</v>
      </c>
      <c r="EY240" s="5">
        <v>-2.1399306194807802E-2</v>
      </c>
      <c r="EZ240" s="5">
        <v>0.47349156210861698</v>
      </c>
      <c r="FA240" s="5">
        <v>-0.196191349617587</v>
      </c>
      <c r="FB240" s="5">
        <v>9.3012329526981199E-2</v>
      </c>
      <c r="FC240" s="5">
        <v>0.10952134299468901</v>
      </c>
      <c r="FD240" s="5">
        <v>0.47575116967236503</v>
      </c>
      <c r="FE240" s="5">
        <v>-0.22637845547323299</v>
      </c>
      <c r="FF240" s="5">
        <v>5.1328031878679403E-2</v>
      </c>
      <c r="FG240" s="5">
        <v>0.118415647737039</v>
      </c>
      <c r="FH240" s="5">
        <v>0.56135887752033498</v>
      </c>
      <c r="FI240" s="5">
        <v>-0.39191807038347298</v>
      </c>
      <c r="FJ240" s="5">
        <v>0.56133036237362699</v>
      </c>
      <c r="FK240" s="5">
        <v>-0.23983346087026799</v>
      </c>
      <c r="FL240" s="5">
        <v>3.6666562426801899E-2</v>
      </c>
      <c r="FM240" s="5">
        <v>-3.0556803185754801E-2</v>
      </c>
      <c r="FN240" s="5">
        <v>0.52091613106392398</v>
      </c>
      <c r="FO240" s="5">
        <v>-0.21020492513424699</v>
      </c>
      <c r="FP240" s="5">
        <v>0.59250727555467697</v>
      </c>
      <c r="FQ240" s="5">
        <v>-0.31030721875184197</v>
      </c>
      <c r="FR240" s="5">
        <v>-7.3433120503993601E-2</v>
      </c>
      <c r="FS240" s="5">
        <v>-3.9481307382674302E-2</v>
      </c>
      <c r="FT240" s="5">
        <v>0.41837080773819801</v>
      </c>
      <c r="FU240" s="5">
        <v>-7.9948363431248004E-2</v>
      </c>
      <c r="FV240" s="5">
        <v>0.19644755215705101</v>
      </c>
      <c r="FW240" s="5">
        <v>3.7434978618037802E-2</v>
      </c>
      <c r="FX240" s="5">
        <v>0.41006910553939702</v>
      </c>
      <c r="FY240" s="5">
        <v>-0.19113146688933499</v>
      </c>
      <c r="FZ240" s="5">
        <v>0.473525489683709</v>
      </c>
      <c r="GA240" s="5">
        <v>-0.110316747231526</v>
      </c>
      <c r="GB240" s="5">
        <v>8.75643677252681E-2</v>
      </c>
      <c r="GC240" s="5">
        <v>0.16557095891673401</v>
      </c>
      <c r="GD240" s="5">
        <v>-0.26970938721752602</v>
      </c>
      <c r="GE240" s="5">
        <v>0.30985098395881899</v>
      </c>
      <c r="GF240" s="5">
        <v>0.31360115809310801</v>
      </c>
      <c r="GG240" s="5">
        <v>-5.80387534432475E-2</v>
      </c>
      <c r="GH240" s="5">
        <v>-0.34721770801135399</v>
      </c>
      <c r="GI240" s="5">
        <v>0.31746702061926402</v>
      </c>
      <c r="GJ240" s="5">
        <v>0.43975536712427898</v>
      </c>
      <c r="GK240" s="5">
        <v>-0.25259055183793</v>
      </c>
      <c r="GL240" s="5">
        <v>0.41702549427728702</v>
      </c>
      <c r="GM240" s="5">
        <v>-0.22812792371148499</v>
      </c>
      <c r="GN240" s="5">
        <v>0.15458995232745701</v>
      </c>
      <c r="GO240" s="5">
        <v>9.2420985517798801E-2</v>
      </c>
      <c r="GP240" s="5">
        <v>0.68773589107114397</v>
      </c>
      <c r="GQ240" s="5">
        <v>-0.41657926828431702</v>
      </c>
      <c r="GR240" s="5">
        <v>0.51672690871707605</v>
      </c>
      <c r="GS240" s="5">
        <v>-0.36206469417914799</v>
      </c>
      <c r="GT240" s="5">
        <v>0.31549194297458499</v>
      </c>
      <c r="GU240" s="5">
        <v>1.11562803208943E-2</v>
      </c>
      <c r="GV240" s="5">
        <v>0.45149097572343799</v>
      </c>
      <c r="GW240" s="5">
        <v>-0.284338221391361</v>
      </c>
      <c r="GX240" s="5">
        <v>0.46364542297520001</v>
      </c>
      <c r="GY240" s="5">
        <v>-0.200545594294886</v>
      </c>
      <c r="GZ240" s="5">
        <v>-7.99452892906726E-2</v>
      </c>
      <c r="HA240" s="5">
        <v>9.7588377280672295E-2</v>
      </c>
      <c r="HB240" s="5">
        <v>0.41541689401491699</v>
      </c>
      <c r="HC240" s="5">
        <v>-0.16642892485088501</v>
      </c>
      <c r="HD240" s="5">
        <v>0.125560189422394</v>
      </c>
      <c r="HE240" s="5">
        <v>0.22601506268763599</v>
      </c>
      <c r="HF240" s="5">
        <v>-7.1372180660138798E-2</v>
      </c>
      <c r="HG240" s="5">
        <v>9.6637740176640105E-2</v>
      </c>
      <c r="HH240" s="5">
        <v>-3.3941911759489601E-2</v>
      </c>
      <c r="HI240" s="5">
        <v>0.133715797480499</v>
      </c>
      <c r="HJ240" s="5">
        <v>-9.9004319982909497E-2</v>
      </c>
      <c r="HK240" s="5">
        <v>0.111503011418008</v>
      </c>
      <c r="HL240" s="5">
        <v>0.60700044024296895</v>
      </c>
      <c r="HM240" s="5">
        <v>-0.35651622231908597</v>
      </c>
      <c r="HN240" s="5">
        <v>5.0775513780852002E-2</v>
      </c>
      <c r="HO240" s="5">
        <v>0.108852647946934</v>
      </c>
      <c r="HP240" s="5">
        <v>0.39427514010951498</v>
      </c>
      <c r="HQ240" s="5">
        <v>-9.0068029209022196E-2</v>
      </c>
      <c r="HR240" s="5">
        <v>0.49066618437797699</v>
      </c>
      <c r="HS240" s="5">
        <v>-0.164574333681342</v>
      </c>
      <c r="HT240" s="5">
        <v>7.3933452345139206E-2</v>
      </c>
      <c r="HU240" s="5">
        <v>0.112466952811108</v>
      </c>
      <c r="HV240" s="5">
        <v>0.75712711314939896</v>
      </c>
      <c r="HW240" s="5">
        <v>-0.49254179913930701</v>
      </c>
      <c r="HX240" s="5">
        <v>0.51803369963590395</v>
      </c>
      <c r="HY240" s="5">
        <v>-0.29455895317428998</v>
      </c>
      <c r="HZ240" s="5">
        <v>-2.7765032348460599E-2</v>
      </c>
      <c r="IA240" s="5">
        <v>0.11785343672220799</v>
      </c>
      <c r="IB240" s="5">
        <v>-0.31122113804384799</v>
      </c>
      <c r="IC240" s="5">
        <v>0.26929253677204001</v>
      </c>
      <c r="ID240" s="5">
        <v>0.47037871428052602</v>
      </c>
      <c r="IE240" s="5">
        <v>-0.16291889840050899</v>
      </c>
      <c r="IF240" s="5">
        <v>1</v>
      </c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</row>
    <row r="241" spans="1:389" x14ac:dyDescent="0.45">
      <c r="A241" s="4" t="str">
        <f ca="1">"MRT / beta2dist in "&amp;CELL("address",'damages-1990'!$K$121)</f>
        <v>MRT / beta2dist in '[BHM betas v3pd.xlsx]damages-1990'!$K$121</v>
      </c>
      <c r="B241" s="6">
        <v>-0.23861680950306899</v>
      </c>
      <c r="C241" s="5">
        <v>0.39914757292319902</v>
      </c>
      <c r="D241" s="5">
        <v>-0.150096434580719</v>
      </c>
      <c r="E241" s="5">
        <v>0.36231372320038802</v>
      </c>
      <c r="F241" s="5">
        <v>-3.0076426150419201E-2</v>
      </c>
      <c r="G241" s="5">
        <v>3.14573759740134E-2</v>
      </c>
      <c r="H241" s="5">
        <v>0.153054695922234</v>
      </c>
      <c r="I241" s="5">
        <v>-0.25761407301983102</v>
      </c>
      <c r="J241" s="5">
        <v>-0.31734524201874698</v>
      </c>
      <c r="K241" s="5">
        <v>0.51289222654380495</v>
      </c>
      <c r="L241" s="5">
        <v>-0.12559374284316299</v>
      </c>
      <c r="M241" s="5">
        <v>0.197215986863024</v>
      </c>
      <c r="N241" s="5">
        <v>0.19175122086226101</v>
      </c>
      <c r="O241" s="5">
        <v>-0.29849175120004501</v>
      </c>
      <c r="P241" s="5">
        <v>-0.31759764880046698</v>
      </c>
      <c r="Q241" s="5">
        <v>0.41900056544959502</v>
      </c>
      <c r="R241" s="5">
        <v>-0.20320280136563301</v>
      </c>
      <c r="S241" s="5">
        <v>0.39704380679130702</v>
      </c>
      <c r="T241" s="5">
        <v>-4.5443886278227E-2</v>
      </c>
      <c r="U241" s="5">
        <v>5.2171996355500497E-3</v>
      </c>
      <c r="V241" s="5">
        <v>-1.17580610719341E-2</v>
      </c>
      <c r="W241" s="5">
        <v>-1.8847537182698201E-2</v>
      </c>
      <c r="X241" s="5">
        <v>-8.15577607532052E-2</v>
      </c>
      <c r="Y241" s="5">
        <v>0.25614988694176599</v>
      </c>
      <c r="Z241" s="5">
        <v>-1.0673180553466E-2</v>
      </c>
      <c r="AA241" s="5">
        <v>-1.1187201502128701E-4</v>
      </c>
      <c r="AB241" s="5">
        <v>-0.29505324380405801</v>
      </c>
      <c r="AC241" s="5">
        <v>0.57291678779212696</v>
      </c>
      <c r="AD241" s="5">
        <v>-0.46492437625233801</v>
      </c>
      <c r="AE241" s="5">
        <v>0.69125600276729204</v>
      </c>
      <c r="AF241" s="5">
        <v>-0.167278909307566</v>
      </c>
      <c r="AG241" s="5">
        <v>0.35473803645509</v>
      </c>
      <c r="AH241" s="5">
        <v>-1.55670037558452E-2</v>
      </c>
      <c r="AI241" s="5">
        <v>-2.8305867741148902E-3</v>
      </c>
      <c r="AJ241" s="5">
        <v>-0.391406191240321</v>
      </c>
      <c r="AK241" s="5">
        <v>0.55951861575426798</v>
      </c>
      <c r="AL241" s="5">
        <v>0.245160324447046</v>
      </c>
      <c r="AM241" s="5">
        <v>-0.224307383692981</v>
      </c>
      <c r="AN241" s="5">
        <v>-3.1013844579639099E-2</v>
      </c>
      <c r="AO241" s="5">
        <v>8.6252296955054604E-3</v>
      </c>
      <c r="AP241" s="5">
        <v>-0.11850999072349</v>
      </c>
      <c r="AQ241" s="5">
        <v>0.10444523555785799</v>
      </c>
      <c r="AR241" s="5">
        <v>-8.4470302915516604E-2</v>
      </c>
      <c r="AS241" s="5">
        <v>0.211051374502191</v>
      </c>
      <c r="AT241" s="5">
        <v>0.12685688426452699</v>
      </c>
      <c r="AU241" s="5">
        <v>-6.0176043672705501E-2</v>
      </c>
      <c r="AV241" s="5">
        <v>-0.18859301665806399</v>
      </c>
      <c r="AW241" s="5">
        <v>0.46353986020646498</v>
      </c>
      <c r="AX241" s="5">
        <v>-0.20263600686040201</v>
      </c>
      <c r="AY241" s="5">
        <v>0.44063303839172502</v>
      </c>
      <c r="AZ241" s="5">
        <v>-0.38589683154583898</v>
      </c>
      <c r="BA241" s="5">
        <v>0.52434176577394698</v>
      </c>
      <c r="BB241" s="5">
        <v>-0.12927429318724601</v>
      </c>
      <c r="BC241" s="5">
        <v>0.345289924427089</v>
      </c>
      <c r="BD241" s="5">
        <v>-0.12698709343999101</v>
      </c>
      <c r="BE241" s="5">
        <v>0.21285402754808599</v>
      </c>
      <c r="BF241" s="5">
        <v>-0.156115762897235</v>
      </c>
      <c r="BG241" s="5">
        <v>0.31212757390605</v>
      </c>
      <c r="BH241" s="5">
        <v>-0.25562067056282201</v>
      </c>
      <c r="BI241" s="5">
        <v>0.52935746687225704</v>
      </c>
      <c r="BJ241" s="5">
        <v>0.113977136271441</v>
      </c>
      <c r="BK241" s="5">
        <v>-0.30538260805797901</v>
      </c>
      <c r="BL241" s="5">
        <v>-3.56820233074574E-2</v>
      </c>
      <c r="BM241" s="5">
        <v>-3.4824579518162098E-2</v>
      </c>
      <c r="BN241" s="5">
        <v>4.13659031727385E-2</v>
      </c>
      <c r="BO241" s="5">
        <v>-0.105493125454401</v>
      </c>
      <c r="BP241" s="5">
        <v>5.2948189684941999E-2</v>
      </c>
      <c r="BQ241" s="5">
        <v>-0.18072978432304199</v>
      </c>
      <c r="BR241" s="5">
        <v>-0.40280633921963299</v>
      </c>
      <c r="BS241" s="5">
        <v>0.63515571836006701</v>
      </c>
      <c r="BT241" s="5">
        <v>-0.28543071695135602</v>
      </c>
      <c r="BU241" s="5">
        <v>0.59945784418570303</v>
      </c>
      <c r="BV241" s="5">
        <v>-0.16279127216410699</v>
      </c>
      <c r="BW241" s="5">
        <v>0.39966326607383601</v>
      </c>
      <c r="BX241" s="5">
        <v>-0.129992636912486</v>
      </c>
      <c r="BY241" s="5">
        <v>0.37194650675968799</v>
      </c>
      <c r="BZ241" s="5">
        <v>-0.216065694289547</v>
      </c>
      <c r="CA241" s="5">
        <v>0.43683097532166199</v>
      </c>
      <c r="CB241" s="5">
        <v>8.3836586937152194E-2</v>
      </c>
      <c r="CC241" s="5">
        <v>0.104303727503051</v>
      </c>
      <c r="CD241" s="5">
        <v>-0.26821548667156297</v>
      </c>
      <c r="CE241" s="5">
        <v>0.43298315742992</v>
      </c>
      <c r="CF241" s="5">
        <v>-0.29822634048056201</v>
      </c>
      <c r="CG241" s="5">
        <v>0.450646449222806</v>
      </c>
      <c r="CH241" s="5">
        <v>0.28063217293446902</v>
      </c>
      <c r="CI241" s="5">
        <v>-0.24329079304676099</v>
      </c>
      <c r="CJ241" s="5">
        <v>-2.3623345618525401E-2</v>
      </c>
      <c r="CK241" s="5">
        <v>8.2939382904034201E-2</v>
      </c>
      <c r="CL241" s="5">
        <v>-1.08337875842156E-2</v>
      </c>
      <c r="CM241" s="5">
        <v>-2.6107994824418199E-2</v>
      </c>
      <c r="CN241" s="5">
        <v>1.0682280975889301E-2</v>
      </c>
      <c r="CO241" s="5">
        <v>-4.9073580332338398E-2</v>
      </c>
      <c r="CP241" s="5">
        <v>-0.41762666554921102</v>
      </c>
      <c r="CQ241" s="5">
        <v>0.54080416266172904</v>
      </c>
      <c r="CR241" s="5">
        <v>-0.298519710888627</v>
      </c>
      <c r="CS241" s="5">
        <v>0.41949453278597298</v>
      </c>
      <c r="CT241" s="5">
        <v>1.64008147736368E-2</v>
      </c>
      <c r="CU241" s="5">
        <v>-3.4874974252502397E-2</v>
      </c>
      <c r="CV241" s="5">
        <v>-0.32520806684791698</v>
      </c>
      <c r="CW241" s="5">
        <v>0.392759103585265</v>
      </c>
      <c r="CX241" s="5">
        <v>-0.47026331211439998</v>
      </c>
      <c r="CY241" s="5">
        <v>0.678000268171843</v>
      </c>
      <c r="CZ241" s="5">
        <v>-0.112674667509007</v>
      </c>
      <c r="DA241" s="5">
        <v>0.27938404562988001</v>
      </c>
      <c r="DB241" s="5">
        <v>-0.15437564353312999</v>
      </c>
      <c r="DC241" s="5">
        <v>0.27323193143121699</v>
      </c>
      <c r="DD241" s="5">
        <v>-0.47376372325583099</v>
      </c>
      <c r="DE241" s="5">
        <v>0.61905022467122295</v>
      </c>
      <c r="DF241" s="5">
        <v>-0.48894449988022898</v>
      </c>
      <c r="DG241" s="5">
        <v>0.66369243957408097</v>
      </c>
      <c r="DH241" s="5">
        <v>-0.13935029874499699</v>
      </c>
      <c r="DI241" s="5">
        <v>0.24004208723825399</v>
      </c>
      <c r="DJ241" s="5">
        <v>-9.0649744863916304E-2</v>
      </c>
      <c r="DK241" s="5">
        <v>7.7726577758558901E-2</v>
      </c>
      <c r="DL241" s="5">
        <v>-0.13103560774533499</v>
      </c>
      <c r="DM241" s="5">
        <v>0.37306964716369001</v>
      </c>
      <c r="DN241" s="5">
        <v>-5.3246127321050898E-2</v>
      </c>
      <c r="DO241" s="5">
        <v>3.0242647834083598E-2</v>
      </c>
      <c r="DP241" s="5">
        <v>-3.60006275792248E-2</v>
      </c>
      <c r="DQ241" s="5">
        <v>9.2573517020164295E-2</v>
      </c>
      <c r="DR241" s="5">
        <v>-2.3628302690602201E-2</v>
      </c>
      <c r="DS241" s="5">
        <v>4.6251935420500503E-2</v>
      </c>
      <c r="DT241" s="5">
        <v>-0.22113095811585201</v>
      </c>
      <c r="DU241" s="5">
        <v>0.263119056564177</v>
      </c>
      <c r="DV241" s="5">
        <v>-0.110159096359648</v>
      </c>
      <c r="DW241" s="5">
        <v>0.31302805874072798</v>
      </c>
      <c r="DX241" s="5">
        <v>-0.121840429971369</v>
      </c>
      <c r="DY241" s="5">
        <v>0.17245660094968601</v>
      </c>
      <c r="DZ241" s="5">
        <v>9.4693554762430701E-2</v>
      </c>
      <c r="EA241" s="5">
        <v>-0.174910141062772</v>
      </c>
      <c r="EB241" s="5">
        <v>-0.45507319342256197</v>
      </c>
      <c r="EC241" s="5">
        <v>0.66397089826218803</v>
      </c>
      <c r="ED241" s="5">
        <v>-0.36756304431668702</v>
      </c>
      <c r="EE241" s="5">
        <v>0.60238798328582199</v>
      </c>
      <c r="EF241" s="5">
        <v>-0.31558631523251102</v>
      </c>
      <c r="EG241" s="5">
        <v>0.41943277390050099</v>
      </c>
      <c r="EH241" s="5">
        <v>-0.40139690099534597</v>
      </c>
      <c r="EI241" s="5">
        <v>0.63945013379070004</v>
      </c>
      <c r="EJ241" s="5">
        <v>-0.41386109981915498</v>
      </c>
      <c r="EK241" s="5">
        <v>0.63756204109013803</v>
      </c>
      <c r="EL241" s="5">
        <v>-0.26435146572534601</v>
      </c>
      <c r="EM241" s="5">
        <v>0.53319707202912203</v>
      </c>
      <c r="EN241" s="5">
        <v>-2.5749224007899699E-2</v>
      </c>
      <c r="EO241" s="5">
        <v>3.4450259701394897E-2</v>
      </c>
      <c r="EP241" s="5">
        <v>-0.37265794805929298</v>
      </c>
      <c r="EQ241" s="5">
        <v>0.49031367843734402</v>
      </c>
      <c r="ER241" s="5">
        <v>-0.10371607112195499</v>
      </c>
      <c r="ES241" s="5">
        <v>0.231500860805121</v>
      </c>
      <c r="ET241" s="5">
        <v>-8.2926291946433403E-2</v>
      </c>
      <c r="EU241" s="5">
        <v>0.27032034077551398</v>
      </c>
      <c r="EV241" s="5">
        <v>-0.261179997700211</v>
      </c>
      <c r="EW241" s="5">
        <v>0.47659525249609902</v>
      </c>
      <c r="EX241" s="5">
        <v>0.115742722767393</v>
      </c>
      <c r="EY241" s="5">
        <v>2.5953741126396101E-2</v>
      </c>
      <c r="EZ241" s="5">
        <v>-0.171855475842487</v>
      </c>
      <c r="FA241" s="5">
        <v>0.35203976927305802</v>
      </c>
      <c r="FB241" s="5">
        <v>-2.1344824228832399E-2</v>
      </c>
      <c r="FC241" s="5">
        <v>2.66361560505208E-2</v>
      </c>
      <c r="FD241" s="5">
        <v>-0.190350126007089</v>
      </c>
      <c r="FE241" s="5">
        <v>0.28661558224054301</v>
      </c>
      <c r="FF241" s="5">
        <v>1.2055612393113901E-3</v>
      </c>
      <c r="FG241" s="5">
        <v>-1.3415003762063201E-2</v>
      </c>
      <c r="FH241" s="5">
        <v>-3.2984847797542197E-2</v>
      </c>
      <c r="FI241" s="5">
        <v>0.26270431652374998</v>
      </c>
      <c r="FJ241" s="5">
        <v>-0.30989752484703598</v>
      </c>
      <c r="FK241" s="5">
        <v>0.50732274666252997</v>
      </c>
      <c r="FL241" s="5">
        <v>-0.114121773973487</v>
      </c>
      <c r="FM241" s="5">
        <v>0.16580755804222599</v>
      </c>
      <c r="FN241" s="5">
        <v>-0.30652481130179199</v>
      </c>
      <c r="FO241" s="5">
        <v>0.44489812010033303</v>
      </c>
      <c r="FP241" s="5">
        <v>-0.314021707555386</v>
      </c>
      <c r="FQ241" s="5">
        <v>0.44830354450695098</v>
      </c>
      <c r="FR241" s="5">
        <v>6.8014570970290705E-2</v>
      </c>
      <c r="FS241" s="5">
        <v>4.4552808041202997E-3</v>
      </c>
      <c r="FT241" s="5">
        <v>-0.14849137702151499</v>
      </c>
      <c r="FU241" s="5">
        <v>0.23976897367830999</v>
      </c>
      <c r="FV241" s="5">
        <v>-4.7760810040094102E-2</v>
      </c>
      <c r="FW241" s="5">
        <v>0.122218350342086</v>
      </c>
      <c r="FX241" s="5">
        <v>-0.14057743626576599</v>
      </c>
      <c r="FY241" s="5">
        <v>0.25674699048501998</v>
      </c>
      <c r="FZ241" s="5">
        <v>-0.16711633957809199</v>
      </c>
      <c r="GA241" s="5">
        <v>0.26859150999416997</v>
      </c>
      <c r="GB241" s="5">
        <v>-3.9664096055930798E-2</v>
      </c>
      <c r="GC241" s="5">
        <v>4.90524422777594E-2</v>
      </c>
      <c r="GD241" s="5">
        <v>0.15072373223256599</v>
      </c>
      <c r="GE241" s="5">
        <v>-0.1834029475932</v>
      </c>
      <c r="GF241" s="5">
        <v>-1.5957817679491702E-2</v>
      </c>
      <c r="GG241" s="5">
        <v>0.28235812129514798</v>
      </c>
      <c r="GH241" s="5">
        <v>0.29230273814932201</v>
      </c>
      <c r="GI241" s="5">
        <v>-0.45162926343822701</v>
      </c>
      <c r="GJ241" s="5">
        <v>-7.6902607365766706E-2</v>
      </c>
      <c r="GK241" s="5">
        <v>0.281644836023351</v>
      </c>
      <c r="GL241" s="5">
        <v>-0.38624421359497202</v>
      </c>
      <c r="GM241" s="5">
        <v>0.46595227050685001</v>
      </c>
      <c r="GN241" s="5">
        <v>-5.8449656792681499E-2</v>
      </c>
      <c r="GO241" s="5">
        <v>0.107624579247147</v>
      </c>
      <c r="GP241" s="5">
        <v>-0.42333213017257298</v>
      </c>
      <c r="GQ241" s="5">
        <v>0.59080898486817501</v>
      </c>
      <c r="GR241" s="5">
        <v>-0.17981302673462701</v>
      </c>
      <c r="GS241" s="5">
        <v>0.42879480569561901</v>
      </c>
      <c r="GT241" s="5">
        <v>-0.10167772660336399</v>
      </c>
      <c r="GU241" s="5">
        <v>0.12525120859414199</v>
      </c>
      <c r="GV241" s="5">
        <v>-0.14769253329851501</v>
      </c>
      <c r="GW241" s="5">
        <v>0.41376075610010998</v>
      </c>
      <c r="GX241" s="5">
        <v>-0.173958808546961</v>
      </c>
      <c r="GY241" s="5">
        <v>0.31440332875249499</v>
      </c>
      <c r="GZ241" s="5">
        <v>-3.1109157183793201E-2</v>
      </c>
      <c r="HA241" s="5">
        <v>-4.1868182460667799E-2</v>
      </c>
      <c r="HB241" s="5">
        <v>-2.7253324708665198E-2</v>
      </c>
      <c r="HC241" s="5">
        <v>0.22851568202486999</v>
      </c>
      <c r="HD241" s="5">
        <v>-6.2610479439648301E-2</v>
      </c>
      <c r="HE241" s="5">
        <v>0.12720425907285399</v>
      </c>
      <c r="HF241" s="5">
        <v>-8.9839031566882693E-2</v>
      </c>
      <c r="HG241" s="5">
        <v>7.1657342938858795E-2</v>
      </c>
      <c r="HH241" s="5">
        <v>8.4856400802805904E-3</v>
      </c>
      <c r="HI241" s="5">
        <v>-4.21542295804119E-2</v>
      </c>
      <c r="HJ241" s="5">
        <v>-8.08653950771034E-2</v>
      </c>
      <c r="HK241" s="5">
        <v>6.1229403701758001E-2</v>
      </c>
      <c r="HL241" s="5">
        <v>-0.43720255069985298</v>
      </c>
      <c r="HM241" s="5">
        <v>0.65384686163066597</v>
      </c>
      <c r="HN241" s="5">
        <v>-3.9026482462983798E-2</v>
      </c>
      <c r="HO241" s="5">
        <v>2.8432150383732899E-2</v>
      </c>
      <c r="HP241" s="5">
        <v>4.3713102660819E-2</v>
      </c>
      <c r="HQ241" s="5">
        <v>0.16228401242912199</v>
      </c>
      <c r="HR241" s="5">
        <v>-6.5212171783049194E-2</v>
      </c>
      <c r="HS241" s="5">
        <v>0.19014411293379599</v>
      </c>
      <c r="HT241" s="5">
        <v>-3.0739486428303899E-2</v>
      </c>
      <c r="HU241" s="5">
        <v>2.2504513847991601E-2</v>
      </c>
      <c r="HV241" s="5">
        <v>-0.52068598976480196</v>
      </c>
      <c r="HW241" s="5">
        <v>0.74854766369552395</v>
      </c>
      <c r="HX241" s="5">
        <v>-0.160398500383929</v>
      </c>
      <c r="HY241" s="5">
        <v>0.45327482970684302</v>
      </c>
      <c r="HZ241" s="5">
        <v>-2.4947854994653101E-2</v>
      </c>
      <c r="IA241" s="5">
        <v>-3.9697563490907499E-3</v>
      </c>
      <c r="IB241" s="5">
        <v>0.204388044766108</v>
      </c>
      <c r="IC241" s="5">
        <v>-0.26370219948172002</v>
      </c>
      <c r="ID241" s="5">
        <v>-3.8172644268428597E-2</v>
      </c>
      <c r="IE241" s="5">
        <v>0.23896442086755301</v>
      </c>
      <c r="IF241" s="5">
        <v>-0.74011176108757604</v>
      </c>
      <c r="IG241" s="5">
        <v>1</v>
      </c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</row>
    <row r="242" spans="1:389" x14ac:dyDescent="0.45">
      <c r="A242" s="4" t="str">
        <f ca="1">"MTQ / beta1dist in "&amp;CELL("address",'damages-1990'!$J$122)</f>
        <v>MTQ / beta1dist in '[BHM betas v3pd.xlsx]damages-1990'!$J$122</v>
      </c>
      <c r="B242" s="6">
        <v>0.162067393606837</v>
      </c>
      <c r="C242" s="5">
        <v>-1.06440814071669E-3</v>
      </c>
      <c r="D242" s="5">
        <v>0.47831204837093799</v>
      </c>
      <c r="E242" s="5">
        <v>-0.43162355321851398</v>
      </c>
      <c r="F242" s="5">
        <v>7.2382796534817107E-2</v>
      </c>
      <c r="G242" s="5">
        <v>8.7584995902917906E-2</v>
      </c>
      <c r="H242" s="5">
        <v>-0.13064084220299799</v>
      </c>
      <c r="I242" s="5">
        <v>0.135279883670467</v>
      </c>
      <c r="J242" s="5">
        <v>0.30473109044086699</v>
      </c>
      <c r="K242" s="5">
        <v>-0.165145033924299</v>
      </c>
      <c r="L242" s="5">
        <v>7.0964071084480204E-2</v>
      </c>
      <c r="M242" s="5">
        <v>0.16051174189732301</v>
      </c>
      <c r="N242" s="5">
        <v>0.15943136803125199</v>
      </c>
      <c r="O242" s="5">
        <v>-0.22441400468786901</v>
      </c>
      <c r="P242" s="5">
        <v>0.86812112565061605</v>
      </c>
      <c r="Q242" s="5">
        <v>-0.74205521369708405</v>
      </c>
      <c r="R242" s="5">
        <v>0.27488744176178598</v>
      </c>
      <c r="S242" s="5">
        <v>-0.230886757312317</v>
      </c>
      <c r="T242" s="5">
        <v>0.18699381500274301</v>
      </c>
      <c r="U242" s="5">
        <v>-0.23789898266425499</v>
      </c>
      <c r="V242" s="5">
        <v>0.12400813597289601</v>
      </c>
      <c r="W242" s="5">
        <v>7.7854349845384196E-2</v>
      </c>
      <c r="X242" s="5">
        <v>0.46670368485727998</v>
      </c>
      <c r="Y242" s="5">
        <v>-0.371385755705892</v>
      </c>
      <c r="Z242" s="5">
        <v>8.4773891482827005E-2</v>
      </c>
      <c r="AA242" s="5">
        <v>-4.5470384817391803E-2</v>
      </c>
      <c r="AB242" s="5">
        <v>0.41835352650623903</v>
      </c>
      <c r="AC242" s="5">
        <v>-0.46211539446843702</v>
      </c>
      <c r="AD242" s="5">
        <v>0.40615550130866201</v>
      </c>
      <c r="AE242" s="5">
        <v>-0.41836546251818302</v>
      </c>
      <c r="AF242" s="5">
        <v>0.27372803999643103</v>
      </c>
      <c r="AG242" s="5">
        <v>-0.19425247427393499</v>
      </c>
      <c r="AH242" s="5">
        <v>0.104041007306167</v>
      </c>
      <c r="AI242" s="5">
        <v>5.0084066965355098E-3</v>
      </c>
      <c r="AJ242" s="5">
        <v>0.24362987571309899</v>
      </c>
      <c r="AK242" s="5">
        <v>-6.6275775585331903E-2</v>
      </c>
      <c r="AL242" s="5">
        <v>2.4470637070390901E-2</v>
      </c>
      <c r="AM242" s="5">
        <v>0.111187600641379</v>
      </c>
      <c r="AN242" s="5">
        <v>0.16915610067714401</v>
      </c>
      <c r="AO242" s="5">
        <v>-0.16673171397543601</v>
      </c>
      <c r="AP242" s="5">
        <v>-7.4986236247927093E-2</v>
      </c>
      <c r="AQ242" s="5">
        <v>5.2395704540759098E-2</v>
      </c>
      <c r="AR242" s="5">
        <v>0.26071759282097101</v>
      </c>
      <c r="AS242" s="5">
        <v>-0.176335661861732</v>
      </c>
      <c r="AT242" s="5">
        <v>-0.138424688017316</v>
      </c>
      <c r="AU242" s="5">
        <v>0.26213832493119099</v>
      </c>
      <c r="AV242" s="5">
        <v>0.36755750348454203</v>
      </c>
      <c r="AW242" s="5">
        <v>-0.38542276572033601</v>
      </c>
      <c r="AX242" s="5">
        <v>0.43143020213968702</v>
      </c>
      <c r="AY242" s="5">
        <v>-0.45226403374859497</v>
      </c>
      <c r="AZ242" s="5">
        <v>0.82261149447876702</v>
      </c>
      <c r="BA242" s="5">
        <v>-0.68923764541575705</v>
      </c>
      <c r="BB242" s="5">
        <v>0.273420762098603</v>
      </c>
      <c r="BC242" s="5">
        <v>-0.22387896162870499</v>
      </c>
      <c r="BD242" s="5">
        <v>3.7567379745889903E-2</v>
      </c>
      <c r="BE242" s="5">
        <v>0.131437188839372</v>
      </c>
      <c r="BF242" s="5">
        <v>0.48837684894549199</v>
      </c>
      <c r="BG242" s="5">
        <v>-0.43194260027367598</v>
      </c>
      <c r="BH242" s="5">
        <v>0.50047230617230198</v>
      </c>
      <c r="BI242" s="5">
        <v>-0.50161165170926802</v>
      </c>
      <c r="BJ242" s="5">
        <v>-0.17388333661510599</v>
      </c>
      <c r="BK242" s="5">
        <v>0.167211200160852</v>
      </c>
      <c r="BL242" s="5">
        <v>0.17268535263838999</v>
      </c>
      <c r="BM242" s="5">
        <v>-0.23188238733918001</v>
      </c>
      <c r="BN242" s="5">
        <v>3.6554479953781902E-2</v>
      </c>
      <c r="BO242" s="5">
        <v>1.5133244459977499E-2</v>
      </c>
      <c r="BP242" s="5">
        <v>-0.173982056039681</v>
      </c>
      <c r="BQ242" s="5">
        <v>0.35346895800721501</v>
      </c>
      <c r="BR242" s="5">
        <v>0.44005447908724699</v>
      </c>
      <c r="BS242" s="5">
        <v>-0.45373630728992398</v>
      </c>
      <c r="BT242" s="5">
        <v>0.45628936657723601</v>
      </c>
      <c r="BU242" s="5">
        <v>-0.46571228053515601</v>
      </c>
      <c r="BV242" s="5">
        <v>0.36875928586622603</v>
      </c>
      <c r="BW242" s="5">
        <v>-0.32945945022221002</v>
      </c>
      <c r="BX242" s="5">
        <v>0.29287861640448098</v>
      </c>
      <c r="BY242" s="5">
        <v>-0.28470257330150001</v>
      </c>
      <c r="BZ242" s="5">
        <v>0.40002484759808199</v>
      </c>
      <c r="CA242" s="5">
        <v>-0.42961842409168399</v>
      </c>
      <c r="CB242" s="5">
        <v>0.25248828144906299</v>
      </c>
      <c r="CC242" s="5">
        <v>-0.26602467623206499</v>
      </c>
      <c r="CD242" s="5">
        <v>0.494394329636484</v>
      </c>
      <c r="CE242" s="5">
        <v>-0.476832324042541</v>
      </c>
      <c r="CF242" s="5">
        <v>0.61956230335515095</v>
      </c>
      <c r="CG242" s="5">
        <v>-0.56328545182557399</v>
      </c>
      <c r="CH242" s="5">
        <v>2.0038605004424202E-2</v>
      </c>
      <c r="CI242" s="5">
        <v>7.2472593773497102E-2</v>
      </c>
      <c r="CJ242" s="5">
        <v>5.7360343641664299E-2</v>
      </c>
      <c r="CK242" s="5">
        <v>0.15284386058313701</v>
      </c>
      <c r="CL242" s="5">
        <v>0.126099163396444</v>
      </c>
      <c r="CM242" s="5">
        <v>-0.13889730840665401</v>
      </c>
      <c r="CN242" s="5">
        <v>7.7396640152447099E-2</v>
      </c>
      <c r="CO242" s="5">
        <v>-5.7009284835605398E-2</v>
      </c>
      <c r="CP242" s="5">
        <v>0.35098290605277899</v>
      </c>
      <c r="CQ242" s="5">
        <v>-0.305035728873363</v>
      </c>
      <c r="CR242" s="5">
        <v>0.90086651376414795</v>
      </c>
      <c r="CS242" s="5">
        <v>-0.756329258788216</v>
      </c>
      <c r="CT242" s="5">
        <v>2.6576646567365501E-2</v>
      </c>
      <c r="CU242" s="5">
        <v>-1.01889316574603E-2</v>
      </c>
      <c r="CV242" s="5">
        <v>0.51157877572280297</v>
      </c>
      <c r="CW242" s="5">
        <v>-0.369554463120083</v>
      </c>
      <c r="CX242" s="5">
        <v>0.28629388660578098</v>
      </c>
      <c r="CY242" s="5">
        <v>-0.15756580217572799</v>
      </c>
      <c r="CZ242" s="5">
        <v>0.478196817442051</v>
      </c>
      <c r="DA242" s="5">
        <v>-0.49508026271352701</v>
      </c>
      <c r="DB242" s="5">
        <v>0.26108830645186798</v>
      </c>
      <c r="DC242" s="5">
        <v>5.0807359266092696E-3</v>
      </c>
      <c r="DD242" s="5">
        <v>0.46343168046481797</v>
      </c>
      <c r="DE242" s="5">
        <v>-0.37799249212598701</v>
      </c>
      <c r="DF242" s="5">
        <v>0.47950049674953299</v>
      </c>
      <c r="DG242" s="5">
        <v>-0.409741048916763</v>
      </c>
      <c r="DH242" s="5">
        <v>0.23243142088129001</v>
      </c>
      <c r="DI242" s="5">
        <v>-0.110729565913853</v>
      </c>
      <c r="DJ242" s="5">
        <v>-0.135821673981185</v>
      </c>
      <c r="DK242" s="5">
        <v>0.11867929420255401</v>
      </c>
      <c r="DL242" s="5">
        <v>0.47091311217197401</v>
      </c>
      <c r="DM242" s="5">
        <v>-0.40901433427966699</v>
      </c>
      <c r="DN242" s="5">
        <v>-0.17733091664313799</v>
      </c>
      <c r="DO242" s="5">
        <v>0.15386582231187701</v>
      </c>
      <c r="DP242" s="5">
        <v>-0.20305397874859599</v>
      </c>
      <c r="DQ242" s="5">
        <v>0.341767361520528</v>
      </c>
      <c r="DR242" s="5">
        <v>0.104987597345513</v>
      </c>
      <c r="DS242" s="5">
        <v>-3.7512462745712301E-2</v>
      </c>
      <c r="DT242" s="5">
        <v>0.17928624787707201</v>
      </c>
      <c r="DU242" s="5">
        <v>-0.124471861792339</v>
      </c>
      <c r="DV242" s="5">
        <v>0.27747090594357599</v>
      </c>
      <c r="DW242" s="5">
        <v>-0.27269817820467301</v>
      </c>
      <c r="DX242" s="5">
        <v>-5.3414448969972099E-2</v>
      </c>
      <c r="DY242" s="5">
        <v>8.6882864646182306E-2</v>
      </c>
      <c r="DZ242" s="5">
        <v>0.135086725033393</v>
      </c>
      <c r="EA242" s="5">
        <v>-0.20780979342623701</v>
      </c>
      <c r="EB242" s="5">
        <v>0.49769402066374202</v>
      </c>
      <c r="EC242" s="5">
        <v>-0.47674439806727298</v>
      </c>
      <c r="ED242" s="5">
        <v>0.40700138793441198</v>
      </c>
      <c r="EE242" s="5">
        <v>-0.39855265164700698</v>
      </c>
      <c r="EF242" s="5">
        <v>0.89395558806131503</v>
      </c>
      <c r="EG242" s="5">
        <v>-0.75090306312160404</v>
      </c>
      <c r="EH242" s="5">
        <v>0.51251627303212499</v>
      </c>
      <c r="EI242" s="5">
        <v>-0.46633248759432999</v>
      </c>
      <c r="EJ242" s="5">
        <v>0.47269913243807599</v>
      </c>
      <c r="EK242" s="5">
        <v>-0.445554783211146</v>
      </c>
      <c r="EL242" s="5">
        <v>0.47100380621312499</v>
      </c>
      <c r="EM242" s="5">
        <v>-0.47149100511666298</v>
      </c>
      <c r="EN242" s="5">
        <v>-7.5124339934886097E-2</v>
      </c>
      <c r="EO242" s="5">
        <v>0.31661186487359699</v>
      </c>
      <c r="EP242" s="5">
        <v>0.76525120736780095</v>
      </c>
      <c r="EQ242" s="5">
        <v>-0.64749856660843497</v>
      </c>
      <c r="ER242" s="5">
        <v>0.234540717368979</v>
      </c>
      <c r="ES242" s="5">
        <v>-0.160726917631897</v>
      </c>
      <c r="ET242" s="5">
        <v>0.59176896857338601</v>
      </c>
      <c r="EU242" s="5">
        <v>-0.56720302352426299</v>
      </c>
      <c r="EV242" s="5">
        <v>0.54447338327180095</v>
      </c>
      <c r="EW242" s="5">
        <v>-0.50843370753725803</v>
      </c>
      <c r="EX242" s="5">
        <v>0.24061390671440999</v>
      </c>
      <c r="EY242" s="5">
        <v>-0.16927229310314201</v>
      </c>
      <c r="EZ242" s="5">
        <v>0.29583825619880999</v>
      </c>
      <c r="FA242" s="5">
        <v>-0.20709295005723699</v>
      </c>
      <c r="FB242" s="5">
        <v>0.15195659124562</v>
      </c>
      <c r="FC242" s="5">
        <v>-7.0866123905198503E-2</v>
      </c>
      <c r="FD242" s="5">
        <v>0.41898696735422303</v>
      </c>
      <c r="FE242" s="5">
        <v>-0.30632191572672401</v>
      </c>
      <c r="FF242" s="5">
        <v>0.13497543826248501</v>
      </c>
      <c r="FG242" s="5">
        <v>-6.5149377626092894E-2</v>
      </c>
      <c r="FH242" s="5">
        <v>0.17146989478616301</v>
      </c>
      <c r="FI242" s="5">
        <v>-7.87679518531781E-2</v>
      </c>
      <c r="FJ242" s="5">
        <v>0.35310980684262999</v>
      </c>
      <c r="FK242" s="5">
        <v>-0.243294054126587</v>
      </c>
      <c r="FL242" s="5">
        <v>-0.16169169811286399</v>
      </c>
      <c r="FM242" s="5">
        <v>0.20889302653237901</v>
      </c>
      <c r="FN242" s="5">
        <v>0.160277203626876</v>
      </c>
      <c r="FO242" s="5">
        <v>5.6588365667859498E-2</v>
      </c>
      <c r="FP242" s="5">
        <v>0.18544909862138501</v>
      </c>
      <c r="FQ242" s="5">
        <v>7.0779093819004199E-2</v>
      </c>
      <c r="FR242" s="5">
        <v>-0.142898908111141</v>
      </c>
      <c r="FS242" s="5">
        <v>0.119503612552207</v>
      </c>
      <c r="FT242" s="5">
        <v>0.18727253333798599</v>
      </c>
      <c r="FU242" s="5">
        <v>0.118163330390094</v>
      </c>
      <c r="FV242" s="5">
        <v>0.106061396064381</v>
      </c>
      <c r="FW242" s="5">
        <v>4.4039114284158298E-2</v>
      </c>
      <c r="FX242" s="5">
        <v>0.51779949062161001</v>
      </c>
      <c r="FY242" s="5">
        <v>-0.42545445334413101</v>
      </c>
      <c r="FZ242" s="5">
        <v>0.22180442765321901</v>
      </c>
      <c r="GA242" s="5">
        <v>8.9837666662767698E-2</v>
      </c>
      <c r="GB242" s="5">
        <v>6.0342694319319802E-2</v>
      </c>
      <c r="GC242" s="5">
        <v>8.6606204744978293E-2</v>
      </c>
      <c r="GD242" s="5">
        <v>-8.8700976199361403E-2</v>
      </c>
      <c r="GE242" s="5">
        <v>8.5156508283194196E-2</v>
      </c>
      <c r="GF242" s="5">
        <v>0.34198486548768697</v>
      </c>
      <c r="GG242" s="5">
        <v>-0.31382628882985197</v>
      </c>
      <c r="GH242" s="5">
        <v>-0.23982255147215001</v>
      </c>
      <c r="GI242" s="5">
        <v>0.247616206340037</v>
      </c>
      <c r="GJ242" s="5">
        <v>0.44578170281048102</v>
      </c>
      <c r="GK242" s="5">
        <v>-0.436196677821444</v>
      </c>
      <c r="GL242" s="5">
        <v>0.81595886805579498</v>
      </c>
      <c r="GM242" s="5">
        <v>-0.64629739352036897</v>
      </c>
      <c r="GN242" s="5">
        <v>3.5681805761287502E-2</v>
      </c>
      <c r="GO242" s="5">
        <v>0.14750306791305701</v>
      </c>
      <c r="GP242" s="5">
        <v>0.25103127230644001</v>
      </c>
      <c r="GQ242" s="5">
        <v>-3.3724226126376801E-2</v>
      </c>
      <c r="GR242" s="5">
        <v>0.39487409847914001</v>
      </c>
      <c r="GS242" s="5">
        <v>-0.35363838921894197</v>
      </c>
      <c r="GT242" s="5">
        <v>0.12456747217233199</v>
      </c>
      <c r="GU242" s="5">
        <v>0.16520826593732699</v>
      </c>
      <c r="GV242" s="5">
        <v>0.36316517847521501</v>
      </c>
      <c r="GW242" s="5">
        <v>-0.44451490448908898</v>
      </c>
      <c r="GX242" s="5">
        <v>0.18096403821836399</v>
      </c>
      <c r="GY242" s="5">
        <v>1.5657527146569001E-2</v>
      </c>
      <c r="GZ242" s="5">
        <v>0.17021556300897001</v>
      </c>
      <c r="HA242" s="5">
        <v>-0.22054710795792501</v>
      </c>
      <c r="HB242" s="5">
        <v>0.469158020594305</v>
      </c>
      <c r="HC242" s="5">
        <v>-0.50586694660932296</v>
      </c>
      <c r="HD242" s="5">
        <v>9.23321369051745E-2</v>
      </c>
      <c r="HE242" s="5">
        <v>-1.2816886179035E-4</v>
      </c>
      <c r="HF242" s="5">
        <v>-7.6983366362055106E-2</v>
      </c>
      <c r="HG242" s="5">
        <v>6.7778694705290202E-2</v>
      </c>
      <c r="HH242" s="5">
        <v>7.3625064545168498E-2</v>
      </c>
      <c r="HI242" s="5">
        <v>-4.6631956105599497E-2</v>
      </c>
      <c r="HJ242" s="5">
        <v>-0.103194488546067</v>
      </c>
      <c r="HK242" s="5">
        <v>8.7477325165034606E-2</v>
      </c>
      <c r="HL242" s="5">
        <v>0.41109561535829497</v>
      </c>
      <c r="HM242" s="5">
        <v>-0.33387338668068101</v>
      </c>
      <c r="HN242" s="5">
        <v>9.3129240944321595E-2</v>
      </c>
      <c r="HO242" s="5">
        <v>-4.1185444822287899E-2</v>
      </c>
      <c r="HP242" s="5">
        <v>0.18215077849799299</v>
      </c>
      <c r="HQ242" s="5">
        <v>-9.9219741343930107E-2</v>
      </c>
      <c r="HR242" s="5">
        <v>0.26349969426082198</v>
      </c>
      <c r="HS242" s="5">
        <v>-0.19438912291409099</v>
      </c>
      <c r="HT242" s="5">
        <v>0.111255310863853</v>
      </c>
      <c r="HU242" s="5">
        <v>-3.0938949533545899E-2</v>
      </c>
      <c r="HV242" s="5">
        <v>0.31954315398913702</v>
      </c>
      <c r="HW242" s="5">
        <v>-0.26462305080402998</v>
      </c>
      <c r="HX242" s="5">
        <v>0.314145698152132</v>
      </c>
      <c r="HY242" s="5">
        <v>-0.27517589242846902</v>
      </c>
      <c r="HZ242" s="5">
        <v>0.15996246515197601</v>
      </c>
      <c r="IA242" s="5">
        <v>-0.18873160409887599</v>
      </c>
      <c r="IB242" s="5">
        <v>-0.28047241149574098</v>
      </c>
      <c r="IC242" s="5">
        <v>0.32230590896730599</v>
      </c>
      <c r="ID242" s="5">
        <v>0.41852718949295697</v>
      </c>
      <c r="IE242" s="5">
        <v>-0.37080842220375998</v>
      </c>
      <c r="IF242" s="5">
        <v>0.40499157759917798</v>
      </c>
      <c r="IG242" s="5">
        <v>-0.335748498932673</v>
      </c>
      <c r="IH242" s="5">
        <v>1</v>
      </c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</row>
    <row r="243" spans="1:389" x14ac:dyDescent="0.45">
      <c r="A243" s="4" t="str">
        <f ca="1">"MTQ / beta2dist in "&amp;CELL("address",'damages-1990'!$K$122)</f>
        <v>MTQ / beta2dist in '[BHM betas v3pd.xlsx]damages-1990'!$K$122</v>
      </c>
      <c r="B243" s="6">
        <v>-5.74162929091077E-2</v>
      </c>
      <c r="C243" s="5">
        <v>0.16631496740322799</v>
      </c>
      <c r="D243" s="5">
        <v>-0.25808235559709902</v>
      </c>
      <c r="E243" s="5">
        <v>0.53880309004179106</v>
      </c>
      <c r="F243" s="5">
        <v>1.5327622793898901E-2</v>
      </c>
      <c r="G243" s="5">
        <v>-1.5769562028115799E-2</v>
      </c>
      <c r="H243" s="5">
        <v>7.0970094147472296E-2</v>
      </c>
      <c r="I243" s="5">
        <v>-0.121974349360417</v>
      </c>
      <c r="J243" s="5">
        <v>-0.120364488167131</v>
      </c>
      <c r="K243" s="5">
        <v>0.27942109259431303</v>
      </c>
      <c r="L243" s="5">
        <v>0.114022887358776</v>
      </c>
      <c r="M243" s="5">
        <v>-0.110394024227305</v>
      </c>
      <c r="N243" s="5">
        <v>-0.13355992459605401</v>
      </c>
      <c r="O243" s="5">
        <v>0.185849381178222</v>
      </c>
      <c r="P243" s="5">
        <v>-0.75211399981951599</v>
      </c>
      <c r="Q243" s="5">
        <v>0.87693209496772495</v>
      </c>
      <c r="R243" s="5">
        <v>-6.8815243859126796E-2</v>
      </c>
      <c r="S243" s="5">
        <v>0.335078426317654</v>
      </c>
      <c r="T243" s="5">
        <v>-0.28800918487353999</v>
      </c>
      <c r="U243" s="5">
        <v>0.33884669870574402</v>
      </c>
      <c r="V243" s="5">
        <v>4.5773399384707097E-3</v>
      </c>
      <c r="W243" s="5">
        <v>2.5545563917387298E-2</v>
      </c>
      <c r="X243" s="5">
        <v>-0.26348142773542399</v>
      </c>
      <c r="Y243" s="5">
        <v>0.47376669480978301</v>
      </c>
      <c r="Z243" s="5">
        <v>-9.4894476092453606E-2</v>
      </c>
      <c r="AA243" s="5">
        <v>0.11719956916955</v>
      </c>
      <c r="AB243" s="5">
        <v>-0.27971813571961701</v>
      </c>
      <c r="AC243" s="5">
        <v>0.59419905316428101</v>
      </c>
      <c r="AD243" s="5">
        <v>-0.29048626512728798</v>
      </c>
      <c r="AE243" s="5">
        <v>0.57981106925182402</v>
      </c>
      <c r="AF243" s="5">
        <v>-0.14079592942306801</v>
      </c>
      <c r="AG243" s="5">
        <v>0.331253227689917</v>
      </c>
      <c r="AH243" s="5">
        <v>-3.9893493537983701E-2</v>
      </c>
      <c r="AI243" s="5">
        <v>6.2009591583106698E-2</v>
      </c>
      <c r="AJ243" s="5">
        <v>-0.111563403061313</v>
      </c>
      <c r="AK243" s="5">
        <v>0.21333265990382699</v>
      </c>
      <c r="AL243" s="5">
        <v>0.24919055874341101</v>
      </c>
      <c r="AM243" s="5">
        <v>-0.24771491041987401</v>
      </c>
      <c r="AN243" s="5">
        <v>-0.202252677933598</v>
      </c>
      <c r="AO243" s="5">
        <v>0.279972031652649</v>
      </c>
      <c r="AP243" s="5">
        <v>-9.2330591340846299E-2</v>
      </c>
      <c r="AQ243" s="5">
        <v>0.13701634008823299</v>
      </c>
      <c r="AR243" s="5">
        <v>-8.7992617710564297E-2</v>
      </c>
      <c r="AS243" s="5">
        <v>0.249162686053959</v>
      </c>
      <c r="AT243" s="5">
        <v>0.35135660293260901</v>
      </c>
      <c r="AU243" s="5">
        <v>-0.36440020038485998</v>
      </c>
      <c r="AV243" s="5">
        <v>-0.14728352995000801</v>
      </c>
      <c r="AW243" s="5">
        <v>0.49135071660116503</v>
      </c>
      <c r="AX243" s="5">
        <v>-0.22439886227723799</v>
      </c>
      <c r="AY243" s="5">
        <v>0.56445693782373196</v>
      </c>
      <c r="AZ243" s="5">
        <v>-0.71537739489206598</v>
      </c>
      <c r="BA243" s="5">
        <v>0.83341909153278104</v>
      </c>
      <c r="BB243" s="5">
        <v>-6.73313703012383E-2</v>
      </c>
      <c r="BC243" s="5">
        <v>0.35052822393095701</v>
      </c>
      <c r="BD243" s="5">
        <v>-2.2500566051842901E-3</v>
      </c>
      <c r="BE243" s="5">
        <v>6.86038704472966E-2</v>
      </c>
      <c r="BF243" s="5">
        <v>-0.35411691170348297</v>
      </c>
      <c r="BG243" s="5">
        <v>0.56377406256170903</v>
      </c>
      <c r="BH243" s="5">
        <v>-0.30718649660590203</v>
      </c>
      <c r="BI243" s="5">
        <v>0.63862269686650797</v>
      </c>
      <c r="BJ243" s="5">
        <v>-5.4997088686833499E-2</v>
      </c>
      <c r="BK243" s="5">
        <v>-6.9534208305634698E-2</v>
      </c>
      <c r="BL243" s="5">
        <v>-0.26123706812750103</v>
      </c>
      <c r="BM243" s="5">
        <v>0.295593916747874</v>
      </c>
      <c r="BN243" s="5">
        <v>-5.27358086708513E-2</v>
      </c>
      <c r="BO243" s="5">
        <v>1.87127782912699E-2</v>
      </c>
      <c r="BP243" s="5">
        <v>0.10830466031092501</v>
      </c>
      <c r="BQ243" s="5">
        <v>-0.27554520547498401</v>
      </c>
      <c r="BR243" s="5">
        <v>-0.35379941400130999</v>
      </c>
      <c r="BS243" s="5">
        <v>0.63905938645655402</v>
      </c>
      <c r="BT243" s="5">
        <v>-0.244175524251874</v>
      </c>
      <c r="BU243" s="5">
        <v>0.593661047984537</v>
      </c>
      <c r="BV243" s="5">
        <v>-0.15553857670283</v>
      </c>
      <c r="BW243" s="5">
        <v>0.44631356481815698</v>
      </c>
      <c r="BX243" s="5">
        <v>-0.10401225793990999</v>
      </c>
      <c r="BY243" s="5">
        <v>0.40423052212836902</v>
      </c>
      <c r="BZ243" s="5">
        <v>-0.225518233047203</v>
      </c>
      <c r="CA243" s="5">
        <v>0.54463711323489306</v>
      </c>
      <c r="CB243" s="5">
        <v>-5.1400885720740697E-2</v>
      </c>
      <c r="CC243" s="5">
        <v>0.29155661931363003</v>
      </c>
      <c r="CD243" s="5">
        <v>-0.28323026628411702</v>
      </c>
      <c r="CE243" s="5">
        <v>0.45914065404857402</v>
      </c>
      <c r="CF243" s="5">
        <v>-0.50234190213819596</v>
      </c>
      <c r="CG243" s="5">
        <v>0.67109703854969704</v>
      </c>
      <c r="CH243" s="5">
        <v>0.24203443304406899</v>
      </c>
      <c r="CI243" s="5">
        <v>-0.198440025323293</v>
      </c>
      <c r="CJ243" s="5">
        <v>6.7258471338947495E-2</v>
      </c>
      <c r="CK243" s="5">
        <v>-0.116198586999606</v>
      </c>
      <c r="CL243" s="5">
        <v>-0.19971729854421999</v>
      </c>
      <c r="CM243" s="5">
        <v>0.240200185510721</v>
      </c>
      <c r="CN243" s="5">
        <v>-0.12601128606051101</v>
      </c>
      <c r="CO243" s="5">
        <v>0.14886914335430901</v>
      </c>
      <c r="CP243" s="5">
        <v>-0.365096999912153</v>
      </c>
      <c r="CQ243" s="5">
        <v>0.52679405560975501</v>
      </c>
      <c r="CR243" s="5">
        <v>-0.77591243599134996</v>
      </c>
      <c r="CS243" s="5">
        <v>0.903391574019479</v>
      </c>
      <c r="CT243" s="5">
        <v>-0.10304948998902499</v>
      </c>
      <c r="CU243" s="5">
        <v>0.11352565096402301</v>
      </c>
      <c r="CV243" s="5">
        <v>-0.36937680762737102</v>
      </c>
      <c r="CW243" s="5">
        <v>0.476729416477365</v>
      </c>
      <c r="CX243" s="5">
        <v>-0.125776925705788</v>
      </c>
      <c r="CY243" s="5">
        <v>0.29109136526905699</v>
      </c>
      <c r="CZ243" s="5">
        <v>-0.28710142748914902</v>
      </c>
      <c r="DA243" s="5">
        <v>0.55900460994283196</v>
      </c>
      <c r="DB243" s="5">
        <v>-5.0818093963221803E-2</v>
      </c>
      <c r="DC243" s="5">
        <v>8.4172687324483506E-2</v>
      </c>
      <c r="DD243" s="5">
        <v>-0.41914957416938797</v>
      </c>
      <c r="DE243" s="5">
        <v>0.59049030909483802</v>
      </c>
      <c r="DF243" s="5">
        <v>-0.29661411798603698</v>
      </c>
      <c r="DG243" s="5">
        <v>0.47773329170044598</v>
      </c>
      <c r="DH243" s="5">
        <v>-0.122801604100172</v>
      </c>
      <c r="DI243" s="5">
        <v>0.23065331340034101</v>
      </c>
      <c r="DJ243" s="5">
        <v>-4.6029258331662097E-2</v>
      </c>
      <c r="DK243" s="5">
        <v>7.01493036626442E-2</v>
      </c>
      <c r="DL243" s="5">
        <v>-0.317861453363881</v>
      </c>
      <c r="DM243" s="5">
        <v>0.571268332604566</v>
      </c>
      <c r="DN243" s="5">
        <v>-2.6009915448360298E-2</v>
      </c>
      <c r="DO243" s="5">
        <v>3.2601669532484903E-2</v>
      </c>
      <c r="DP243" s="5">
        <v>0.39295290651676101</v>
      </c>
      <c r="DQ243" s="5">
        <v>-0.34561897845643302</v>
      </c>
      <c r="DR243" s="5">
        <v>-7.1067116071929101E-2</v>
      </c>
      <c r="DS243" s="5">
        <v>0.12634293478196901</v>
      </c>
      <c r="DT243" s="5">
        <v>-0.15908877206445499</v>
      </c>
      <c r="DU243" s="5">
        <v>0.249237576154831</v>
      </c>
      <c r="DV243" s="5">
        <v>-0.107347730678429</v>
      </c>
      <c r="DW243" s="5">
        <v>0.35948226059844901</v>
      </c>
      <c r="DX243" s="5">
        <v>-6.8877698101165704E-3</v>
      </c>
      <c r="DY243" s="5">
        <v>1.0406929929855299E-2</v>
      </c>
      <c r="DZ243" s="5">
        <v>-0.104503930993774</v>
      </c>
      <c r="EA243" s="5">
        <v>0.186426839470231</v>
      </c>
      <c r="EB243" s="5">
        <v>-0.379262880959093</v>
      </c>
      <c r="EC243" s="5">
        <v>0.63840639075747496</v>
      </c>
      <c r="ED243" s="5">
        <v>-0.26807800613962601</v>
      </c>
      <c r="EE243" s="5">
        <v>0.56784821923085105</v>
      </c>
      <c r="EF243" s="5">
        <v>-0.79156775206033703</v>
      </c>
      <c r="EG243" s="5">
        <v>0.89976043838951603</v>
      </c>
      <c r="EH243" s="5">
        <v>-0.322185907725554</v>
      </c>
      <c r="EI243" s="5">
        <v>0.58716764562995705</v>
      </c>
      <c r="EJ243" s="5">
        <v>-0.30170742527762801</v>
      </c>
      <c r="EK243" s="5">
        <v>0.58945548606155995</v>
      </c>
      <c r="EL243" s="5">
        <v>-0.25947221585150598</v>
      </c>
      <c r="EM243" s="5">
        <v>0.55132419477137995</v>
      </c>
      <c r="EN243" s="5">
        <v>0.25053889893763498</v>
      </c>
      <c r="EO243" s="5">
        <v>-0.33306905029344003</v>
      </c>
      <c r="EP243" s="5">
        <v>-0.66114302134369096</v>
      </c>
      <c r="EQ243" s="5">
        <v>0.78844972413896497</v>
      </c>
      <c r="ER243" s="5">
        <v>-5.8682620255984301E-2</v>
      </c>
      <c r="ES243" s="5">
        <v>0.259040600789955</v>
      </c>
      <c r="ET243" s="5">
        <v>-0.352311445167452</v>
      </c>
      <c r="EU243" s="5">
        <v>0.59545520125877704</v>
      </c>
      <c r="EV243" s="5">
        <v>-0.37370665951085102</v>
      </c>
      <c r="EW243" s="5">
        <v>0.61156881176085498</v>
      </c>
      <c r="EX243" s="5">
        <v>-4.6525564535764903E-2</v>
      </c>
      <c r="EY243" s="5">
        <v>0.21935908780320101</v>
      </c>
      <c r="EZ243" s="5">
        <v>-0.12677380893832499</v>
      </c>
      <c r="FA243" s="5">
        <v>0.32561094090225401</v>
      </c>
      <c r="FB243" s="5">
        <v>-0.104384205347474</v>
      </c>
      <c r="FC243" s="5">
        <v>0.163387231739378</v>
      </c>
      <c r="FD243" s="5">
        <v>-0.21208618606582599</v>
      </c>
      <c r="FE243" s="5">
        <v>0.35001583949201998</v>
      </c>
      <c r="FF243" s="5">
        <v>-0.111967144255084</v>
      </c>
      <c r="FG243" s="5">
        <v>0.15698812395724401</v>
      </c>
      <c r="FH243" s="5">
        <v>0.110695914596418</v>
      </c>
      <c r="FI243" s="5">
        <v>6.3307596363448598E-2</v>
      </c>
      <c r="FJ243" s="5">
        <v>-0.14355295112466601</v>
      </c>
      <c r="FK243" s="5">
        <v>0.34606285021065297</v>
      </c>
      <c r="FL243" s="5">
        <v>0.12289952882123199</v>
      </c>
      <c r="FM243" s="5">
        <v>-0.13487580525725801</v>
      </c>
      <c r="FN243" s="5">
        <v>-9.4889818952921898E-3</v>
      </c>
      <c r="FO243" s="5">
        <v>7.3113019195096801E-2</v>
      </c>
      <c r="FP243" s="5">
        <v>-4.9720564481367198E-2</v>
      </c>
      <c r="FQ243" s="5">
        <v>7.01743290681167E-2</v>
      </c>
      <c r="FR243" s="5">
        <v>0.208857860827942</v>
      </c>
      <c r="FS243" s="5">
        <v>-0.180004927606077</v>
      </c>
      <c r="FT243" s="5">
        <v>-1.96721910186528E-2</v>
      </c>
      <c r="FU243" s="5">
        <v>2.93739277847183E-3</v>
      </c>
      <c r="FV243" s="5">
        <v>1.4233328617518999E-3</v>
      </c>
      <c r="FW243" s="5">
        <v>4.1505133063582098E-2</v>
      </c>
      <c r="FX243" s="5">
        <v>-0.287491542971477</v>
      </c>
      <c r="FY243" s="5">
        <v>0.44410429371281501</v>
      </c>
      <c r="FZ243" s="5">
        <v>-3.5576384975210998E-2</v>
      </c>
      <c r="GA243" s="5">
        <v>3.8964690894761699E-2</v>
      </c>
      <c r="GB243" s="5">
        <v>-3.4888788296468798E-2</v>
      </c>
      <c r="GC243" s="5">
        <v>6.5786757320432099E-2</v>
      </c>
      <c r="GD243" s="5">
        <v>-5.4764016236930101E-3</v>
      </c>
      <c r="GE243" s="5">
        <v>8.9879912212693907E-3</v>
      </c>
      <c r="GF243" s="5">
        <v>-0.12313132855919</v>
      </c>
      <c r="GG243" s="5">
        <v>0.41699123254197801</v>
      </c>
      <c r="GH243" s="5">
        <v>0.18832325616189699</v>
      </c>
      <c r="GI243" s="5">
        <v>-0.31797310509011201</v>
      </c>
      <c r="GJ243" s="5">
        <v>-0.183084879170924</v>
      </c>
      <c r="GK243" s="5">
        <v>0.40098233138535799</v>
      </c>
      <c r="GL243" s="5">
        <v>-0.744702781213886</v>
      </c>
      <c r="GM243" s="5">
        <v>0.81960974284687504</v>
      </c>
      <c r="GN243" s="5">
        <v>6.8762005391111601E-3</v>
      </c>
      <c r="GO243" s="5">
        <v>1.5328562559964501E-2</v>
      </c>
      <c r="GP243" s="5">
        <v>-0.11696214378530601</v>
      </c>
      <c r="GQ243" s="5">
        <v>0.18834603436053801</v>
      </c>
      <c r="GR243" s="5">
        <v>-0.17006093966393099</v>
      </c>
      <c r="GS243" s="5">
        <v>0.38800123660981201</v>
      </c>
      <c r="GT243" s="5">
        <v>-9.0842516407819095E-4</v>
      </c>
      <c r="GU243" s="5">
        <v>-4.6247195140151597E-2</v>
      </c>
      <c r="GV243" s="5">
        <v>-0.18697933658631199</v>
      </c>
      <c r="GW243" s="5">
        <v>0.53461555144386597</v>
      </c>
      <c r="GX243" s="5">
        <v>2.42097831812184E-2</v>
      </c>
      <c r="GY243" s="5">
        <v>3.4337399472612003E-2</v>
      </c>
      <c r="GZ243" s="5">
        <v>-0.26841478147522901</v>
      </c>
      <c r="HA243" s="5">
        <v>0.29821254408334702</v>
      </c>
      <c r="HB243" s="5">
        <v>-0.207518421684279</v>
      </c>
      <c r="HC243" s="5">
        <v>0.52677791064429302</v>
      </c>
      <c r="HD243" s="5">
        <v>-6.8855078207651396E-2</v>
      </c>
      <c r="HE243" s="5">
        <v>0.23692075990254</v>
      </c>
      <c r="HF243" s="5">
        <v>-8.7397068604795305E-2</v>
      </c>
      <c r="HG243" s="5">
        <v>0.114490265185014</v>
      </c>
      <c r="HH243" s="5">
        <v>-9.4493966697592094E-2</v>
      </c>
      <c r="HI243" s="5">
        <v>0.113243695040741</v>
      </c>
      <c r="HJ243" s="5">
        <v>-6.7216262089847198E-2</v>
      </c>
      <c r="HK243" s="5">
        <v>9.0840037211325095E-2</v>
      </c>
      <c r="HL243" s="5">
        <v>-0.26046467912037302</v>
      </c>
      <c r="HM243" s="5">
        <v>0.46875953292279898</v>
      </c>
      <c r="HN243" s="5">
        <v>-8.9522044354566399E-2</v>
      </c>
      <c r="HO243" s="5">
        <v>0.14829398308234301</v>
      </c>
      <c r="HP243" s="5">
        <v>0.13189104108893801</v>
      </c>
      <c r="HQ243" s="5">
        <v>8.8999407079465506E-2</v>
      </c>
      <c r="HR243" s="5">
        <v>-7.9098171575858398E-3</v>
      </c>
      <c r="HS243" s="5">
        <v>0.22105716304487699</v>
      </c>
      <c r="HT243" s="5">
        <v>-8.5829423927662102E-2</v>
      </c>
      <c r="HU243" s="5">
        <v>0.12918938570385799</v>
      </c>
      <c r="HV243" s="5">
        <v>-0.17539453125275101</v>
      </c>
      <c r="HW243" s="5">
        <v>0.41412520078099302</v>
      </c>
      <c r="HX243" s="5">
        <v>-8.4980841565681503E-2</v>
      </c>
      <c r="HY243" s="5">
        <v>0.36232397700072799</v>
      </c>
      <c r="HZ243" s="5">
        <v>-0.21457694581091899</v>
      </c>
      <c r="IA243" s="5">
        <v>0.29791973421359103</v>
      </c>
      <c r="IB243" s="5">
        <v>0.21324663305838401</v>
      </c>
      <c r="IC243" s="5">
        <v>-0.31555686713848802</v>
      </c>
      <c r="ID243" s="5">
        <v>-0.14962407151770299</v>
      </c>
      <c r="IE243" s="5">
        <v>0.42117250907728199</v>
      </c>
      <c r="IF243" s="5">
        <v>-0.23032800352206201</v>
      </c>
      <c r="IG243" s="5">
        <v>0.46816749692593701</v>
      </c>
      <c r="IH243" s="5">
        <v>-0.86533406609270602</v>
      </c>
      <c r="II243" s="5">
        <v>1</v>
      </c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</row>
    <row r="244" spans="1:389" x14ac:dyDescent="0.45">
      <c r="A244" s="4" t="str">
        <f ca="1">"MUS / beta1dist in "&amp;CELL("address",'damages-1990'!$J$123)</f>
        <v>MUS / beta1dist in '[BHM betas v3pd.xlsx]damages-1990'!$J$123</v>
      </c>
      <c r="B244" s="6">
        <v>5.3001054704527102E-2</v>
      </c>
      <c r="C244" s="5">
        <v>0.271172923035983</v>
      </c>
      <c r="D244" s="5">
        <v>0.288554061135949</v>
      </c>
      <c r="E244" s="5">
        <v>-3.5951750371490898E-2</v>
      </c>
      <c r="F244" s="5">
        <v>8.4192641202863294E-2</v>
      </c>
      <c r="G244" s="5">
        <v>7.5793559961558205E-2</v>
      </c>
      <c r="H244" s="5">
        <v>-8.2591846545657502E-2</v>
      </c>
      <c r="I244" s="5">
        <v>3.4241897102285097E-2</v>
      </c>
      <c r="J244" s="5">
        <v>0.13977051686379199</v>
      </c>
      <c r="K244" s="5">
        <v>0.152876818245856</v>
      </c>
      <c r="L244" s="5">
        <v>0.19633282314783099</v>
      </c>
      <c r="M244" s="5">
        <v>3.4493568110028197E-2</v>
      </c>
      <c r="N244" s="5">
        <v>-2.59915421242361E-2</v>
      </c>
      <c r="O244" s="5">
        <v>6.0135724933533599E-3</v>
      </c>
      <c r="P244" s="5">
        <v>8.2935757255695006E-2</v>
      </c>
      <c r="Q244" s="5">
        <v>5.0618474498840701E-2</v>
      </c>
      <c r="R244" s="5">
        <v>0.29264563467522797</v>
      </c>
      <c r="S244" s="5">
        <v>-5.5484995142185897E-2</v>
      </c>
      <c r="T244" s="5">
        <v>-0.22004649112482799</v>
      </c>
      <c r="U244" s="5">
        <v>0.22935795052733099</v>
      </c>
      <c r="V244" s="5">
        <v>2.5437800287999399E-2</v>
      </c>
      <c r="W244" s="5">
        <v>0.30333459377650501</v>
      </c>
      <c r="X244" s="5">
        <v>0.29914360631389803</v>
      </c>
      <c r="Y244" s="5">
        <v>-4.9307532993670099E-2</v>
      </c>
      <c r="Z244" s="5">
        <v>1.5778002355938101E-4</v>
      </c>
      <c r="AA244" s="5">
        <v>5.8291588544907E-2</v>
      </c>
      <c r="AB244" s="5">
        <v>0.317542494939761</v>
      </c>
      <c r="AC244" s="5">
        <v>-0.13010423259659901</v>
      </c>
      <c r="AD244" s="5">
        <v>0.134827525303682</v>
      </c>
      <c r="AE244" s="5">
        <v>5.3774882954395399E-2</v>
      </c>
      <c r="AF244" s="5">
        <v>0.19249553294483099</v>
      </c>
      <c r="AG244" s="5">
        <v>3.05825221726654E-2</v>
      </c>
      <c r="AH244" s="5">
        <v>-5.1028537405294E-3</v>
      </c>
      <c r="AI244" s="5">
        <v>0.14722452326337701</v>
      </c>
      <c r="AJ244" s="5">
        <v>0.22252484815958601</v>
      </c>
      <c r="AK244" s="5">
        <v>9.1731834784717706E-2</v>
      </c>
      <c r="AL244" s="5">
        <v>0.49092256049281502</v>
      </c>
      <c r="AM244" s="5">
        <v>-0.44096194188436799</v>
      </c>
      <c r="AN244" s="5">
        <v>-9.3656877416090606E-2</v>
      </c>
      <c r="AO244" s="5">
        <v>0.18335028114138799</v>
      </c>
      <c r="AP244" s="5">
        <v>-0.200822068467152</v>
      </c>
      <c r="AQ244" s="5">
        <v>0.187190523788619</v>
      </c>
      <c r="AR244" s="5">
        <v>0.498019185689482</v>
      </c>
      <c r="AS244" s="5">
        <v>-0.38729716206784298</v>
      </c>
      <c r="AT244" s="5">
        <v>0.41216235565930698</v>
      </c>
      <c r="AU244" s="5">
        <v>-0.262926813653095</v>
      </c>
      <c r="AV244" s="5">
        <v>0.39929398919391201</v>
      </c>
      <c r="AW244" s="5">
        <v>-0.224116692380571</v>
      </c>
      <c r="AX244" s="5">
        <v>0.39278022570420901</v>
      </c>
      <c r="AY244" s="5">
        <v>-0.23873451238799201</v>
      </c>
      <c r="AZ244" s="5">
        <v>-8.3185301338038295E-2</v>
      </c>
      <c r="BA244" s="5">
        <v>0.177830137765316</v>
      </c>
      <c r="BB244" s="5">
        <v>0.25077150405903098</v>
      </c>
      <c r="BC244" s="5">
        <v>7.0894101626978304E-2</v>
      </c>
      <c r="BD244" s="5">
        <v>-1.29851173883454E-2</v>
      </c>
      <c r="BE244" s="5">
        <v>0.29851470566755101</v>
      </c>
      <c r="BF244" s="5">
        <v>0.25376939676474902</v>
      </c>
      <c r="BG244" s="5">
        <v>-2.5631166593204E-2</v>
      </c>
      <c r="BH244" s="5">
        <v>0.36926865020455901</v>
      </c>
      <c r="BI244" s="5">
        <v>-0.14043693614032801</v>
      </c>
      <c r="BJ244" s="5">
        <v>-0.16545731715298001</v>
      </c>
      <c r="BK244" s="5">
        <v>2.3033900201987499E-2</v>
      </c>
      <c r="BL244" s="5">
        <v>-0.18683698078547101</v>
      </c>
      <c r="BM244" s="5">
        <v>0.168679692873203</v>
      </c>
      <c r="BN244" s="5">
        <v>-5.6442067868822901E-2</v>
      </c>
      <c r="BO244" s="5">
        <v>0.108211184593889</v>
      </c>
      <c r="BP244" s="5">
        <v>-0.13447903919141499</v>
      </c>
      <c r="BQ244" s="5">
        <v>0.22704252362678001</v>
      </c>
      <c r="BR244" s="5">
        <v>0.29881513541583199</v>
      </c>
      <c r="BS244" s="5">
        <v>-0.10053086011653101</v>
      </c>
      <c r="BT244" s="5">
        <v>0.37998768920255899</v>
      </c>
      <c r="BU244" s="5">
        <v>-0.159746491354741</v>
      </c>
      <c r="BV244" s="5">
        <v>0.39859384452417701</v>
      </c>
      <c r="BW244" s="5">
        <v>-0.18257513898469699</v>
      </c>
      <c r="BX244" s="5">
        <v>0.46799790339626901</v>
      </c>
      <c r="BY244" s="5">
        <v>-0.32080397837626101</v>
      </c>
      <c r="BZ244" s="5">
        <v>0.448999521806904</v>
      </c>
      <c r="CA244" s="5">
        <v>-0.267804425018281</v>
      </c>
      <c r="CB244" s="5">
        <v>0.63516989371974497</v>
      </c>
      <c r="CC244" s="5">
        <v>-0.49609081136596</v>
      </c>
      <c r="CD244" s="5">
        <v>-3.3734433756238302E-2</v>
      </c>
      <c r="CE244" s="5">
        <v>0.268223142177138</v>
      </c>
      <c r="CF244" s="5">
        <v>0.311755376788725</v>
      </c>
      <c r="CG244" s="5">
        <v>-0.20738120968578699</v>
      </c>
      <c r="CH244" s="5">
        <v>0.55718899937330102</v>
      </c>
      <c r="CI244" s="5">
        <v>-0.52532492147477505</v>
      </c>
      <c r="CJ244" s="5">
        <v>0.27777167795540902</v>
      </c>
      <c r="CK244" s="5">
        <v>-0.108649970470621</v>
      </c>
      <c r="CL244" s="5">
        <v>-0.16924017703053501</v>
      </c>
      <c r="CM244" s="5">
        <v>0.204567472933738</v>
      </c>
      <c r="CN244" s="5">
        <v>-7.6784307643687003E-2</v>
      </c>
      <c r="CO244" s="5">
        <v>0.122478359678036</v>
      </c>
      <c r="CP244" s="5">
        <v>-8.9239121716266703E-3</v>
      </c>
      <c r="CQ244" s="5">
        <v>0.15298261300872101</v>
      </c>
      <c r="CR244" s="5">
        <v>0.118833271835716</v>
      </c>
      <c r="CS244" s="5">
        <v>4.6420324247788101E-3</v>
      </c>
      <c r="CT244" s="5">
        <v>-5.7185985909392598E-2</v>
      </c>
      <c r="CU244" s="5">
        <v>4.9104598197980097E-2</v>
      </c>
      <c r="CV244" s="5">
        <v>0.204688538618122</v>
      </c>
      <c r="CW244" s="5">
        <v>-7.2989680605263299E-2</v>
      </c>
      <c r="CX244" s="5">
        <v>0.33419292256572403</v>
      </c>
      <c r="CY244" s="5">
        <v>-0.101939981635692</v>
      </c>
      <c r="CZ244" s="5">
        <v>0.50223859143620497</v>
      </c>
      <c r="DA244" s="5">
        <v>-0.32575519397006403</v>
      </c>
      <c r="DB244" s="5">
        <v>0.26808862327598099</v>
      </c>
      <c r="DC244" s="5">
        <v>1.29172914017234E-2</v>
      </c>
      <c r="DD244" s="5">
        <v>-0.123561012258737</v>
      </c>
      <c r="DE244" s="5">
        <v>0.284668782757383</v>
      </c>
      <c r="DF244" s="5">
        <v>8.6531547678888501E-2</v>
      </c>
      <c r="DG244" s="5">
        <v>0.15124637156359</v>
      </c>
      <c r="DH244" s="5">
        <v>0.173431568868012</v>
      </c>
      <c r="DI244" s="5">
        <v>2.5599692932114799E-2</v>
      </c>
      <c r="DJ244" s="5">
        <v>-0.157925762657668</v>
      </c>
      <c r="DK244" s="5">
        <v>0.103136596010072</v>
      </c>
      <c r="DL244" s="5">
        <v>8.0981862721917805E-2</v>
      </c>
      <c r="DM244" s="5">
        <v>0.14848860916074799</v>
      </c>
      <c r="DN244" s="5">
        <v>-0.156033836456272</v>
      </c>
      <c r="DO244" s="5">
        <v>5.47080886163284E-2</v>
      </c>
      <c r="DP244" s="5">
        <v>0.27110549308509202</v>
      </c>
      <c r="DQ244" s="5">
        <v>-1.3789905055784001E-2</v>
      </c>
      <c r="DR244" s="5">
        <v>8.6326204395336698E-2</v>
      </c>
      <c r="DS244" s="5">
        <v>2.7947410863223901E-2</v>
      </c>
      <c r="DT244" s="5">
        <v>0.23258602490541799</v>
      </c>
      <c r="DU244" s="5">
        <v>-9.7109463853467998E-2</v>
      </c>
      <c r="DV244" s="5">
        <v>0.366217226731197</v>
      </c>
      <c r="DW244" s="5">
        <v>-0.23365740874631299</v>
      </c>
      <c r="DX244" s="5">
        <v>-0.11992491195182201</v>
      </c>
      <c r="DY244" s="5">
        <v>0.15119772747148499</v>
      </c>
      <c r="DZ244" s="5">
        <v>-6.3416325271949597E-2</v>
      </c>
      <c r="EA244" s="5">
        <v>7.3833558371215399E-2</v>
      </c>
      <c r="EB244" s="5">
        <v>0.298756194866312</v>
      </c>
      <c r="EC244" s="5">
        <v>-0.104000448770506</v>
      </c>
      <c r="ED244" s="5">
        <v>0.29910834548731502</v>
      </c>
      <c r="EE244" s="5">
        <v>-7.0553477215806404E-2</v>
      </c>
      <c r="EF244" s="5">
        <v>0.104550197359566</v>
      </c>
      <c r="EG244" s="5">
        <v>2.2034987102293201E-2</v>
      </c>
      <c r="EH244" s="5">
        <v>9.27770614450278E-2</v>
      </c>
      <c r="EI244" s="5">
        <v>0.148584911775826</v>
      </c>
      <c r="EJ244" s="5">
        <v>0.15950711670385401</v>
      </c>
      <c r="EK244" s="5">
        <v>7.1601066436852101E-2</v>
      </c>
      <c r="EL244" s="5">
        <v>0.490084459147683</v>
      </c>
      <c r="EM244" s="5">
        <v>-0.315774755399092</v>
      </c>
      <c r="EN244" s="5">
        <v>0.27709328603376598</v>
      </c>
      <c r="EO244" s="5">
        <v>-0.126008327045188</v>
      </c>
      <c r="EP244" s="5">
        <v>-3.5317248712367098E-2</v>
      </c>
      <c r="EQ244" s="5">
        <v>0.124731933226814</v>
      </c>
      <c r="ER244" s="5">
        <v>0.44214577470386102</v>
      </c>
      <c r="ES244" s="5">
        <v>-0.29343278078588603</v>
      </c>
      <c r="ET244" s="5">
        <v>0.34680900429407502</v>
      </c>
      <c r="EU244" s="5">
        <v>-0.245990031638853</v>
      </c>
      <c r="EV244" s="5">
        <v>0.39550179549369702</v>
      </c>
      <c r="EW244" s="5">
        <v>-0.29536336000149199</v>
      </c>
      <c r="EX244" s="5">
        <v>0.259607176456087</v>
      </c>
      <c r="EY244" s="5">
        <v>-0.109396009781675</v>
      </c>
      <c r="EZ244" s="5">
        <v>0.38690449834481</v>
      </c>
      <c r="FA244" s="5">
        <v>-0.24112339428071899</v>
      </c>
      <c r="FB244" s="5">
        <v>6.2656379329074696E-2</v>
      </c>
      <c r="FC244" s="5">
        <v>7.2743070876807203E-2</v>
      </c>
      <c r="FD244" s="5">
        <v>0.34774950980664798</v>
      </c>
      <c r="FE244" s="5">
        <v>-0.228195331870859</v>
      </c>
      <c r="FF244" s="5">
        <v>-1.7246931212825101E-2</v>
      </c>
      <c r="FG244" s="5">
        <v>0.13566198210846001</v>
      </c>
      <c r="FH244" s="5">
        <v>0.404434969260341</v>
      </c>
      <c r="FI244" s="5">
        <v>-0.22895576895617101</v>
      </c>
      <c r="FJ244" s="5">
        <v>0.20356684087950799</v>
      </c>
      <c r="FK244" s="5">
        <v>0.101452080232693</v>
      </c>
      <c r="FL244" s="5">
        <v>-0.172637843254032</v>
      </c>
      <c r="FM244" s="5">
        <v>0.23677309477755801</v>
      </c>
      <c r="FN244" s="5">
        <v>4.8814617707964303E-2</v>
      </c>
      <c r="FO244" s="5">
        <v>0.26698748371092301</v>
      </c>
      <c r="FP244" s="5">
        <v>0.24196485143367599</v>
      </c>
      <c r="FQ244" s="5">
        <v>2.96532244233478E-2</v>
      </c>
      <c r="FR244" s="5">
        <v>-9.2194971276414104E-4</v>
      </c>
      <c r="FS244" s="5">
        <v>-0.134336689870765</v>
      </c>
      <c r="FT244" s="5">
        <v>0.30929292043822398</v>
      </c>
      <c r="FU244" s="5">
        <v>-5.7715685442999098E-2</v>
      </c>
      <c r="FV244" s="5">
        <v>0.20645809077955901</v>
      </c>
      <c r="FW244" s="5">
        <v>-5.68174656872346E-2</v>
      </c>
      <c r="FX244" s="5">
        <v>0.45331490443990002</v>
      </c>
      <c r="FY244" s="5">
        <v>-0.37658350052077699</v>
      </c>
      <c r="FZ244" s="5">
        <v>0.27518574154979603</v>
      </c>
      <c r="GA244" s="5">
        <v>2.8839728371074002E-3</v>
      </c>
      <c r="GB244" s="5">
        <v>2.5756762149481398E-2</v>
      </c>
      <c r="GC244" s="5">
        <v>0.15920825980063799</v>
      </c>
      <c r="GD244" s="5">
        <v>-9.0684225585888303E-2</v>
      </c>
      <c r="GE244" s="5">
        <v>0.11229768370148201</v>
      </c>
      <c r="GF244" s="5">
        <v>0.348337543833525</v>
      </c>
      <c r="GG244" s="5">
        <v>-7.3390332256195401E-2</v>
      </c>
      <c r="GH244" s="5">
        <v>-0.137465318348896</v>
      </c>
      <c r="GI244" s="5">
        <v>8.9693501523949198E-2</v>
      </c>
      <c r="GJ244" s="5">
        <v>0.37351794443115099</v>
      </c>
      <c r="GK244" s="5">
        <v>-0.27568099244136102</v>
      </c>
      <c r="GL244" s="5">
        <v>-1.6548250966669301E-2</v>
      </c>
      <c r="GM244" s="5">
        <v>0.14785739731027001</v>
      </c>
      <c r="GN244" s="5">
        <v>6.1187852185502101E-2</v>
      </c>
      <c r="GO244" s="5">
        <v>0.14361706462679699</v>
      </c>
      <c r="GP244" s="5">
        <v>0.20863658471448299</v>
      </c>
      <c r="GQ244" s="5">
        <v>6.7303949402191393E-2</v>
      </c>
      <c r="GR244" s="5">
        <v>0.30083618806324802</v>
      </c>
      <c r="GS244" s="5">
        <v>-0.185846329673231</v>
      </c>
      <c r="GT244" s="5">
        <v>0.213197836909369</v>
      </c>
      <c r="GU244" s="5">
        <v>7.5744004940361404E-3</v>
      </c>
      <c r="GV244" s="5">
        <v>0.34396154390646599</v>
      </c>
      <c r="GW244" s="5">
        <v>-0.17979358909225601</v>
      </c>
      <c r="GX244" s="5">
        <v>0.27239402642300098</v>
      </c>
      <c r="GY244" s="5">
        <v>-6.7317382587946104E-2</v>
      </c>
      <c r="GZ244" s="5">
        <v>-0.202473345812205</v>
      </c>
      <c r="HA244" s="5">
        <v>0.182654284420431</v>
      </c>
      <c r="HB244" s="5">
        <v>0.45141834758731297</v>
      </c>
      <c r="HC244" s="5">
        <v>-0.23247913587819299</v>
      </c>
      <c r="HD244" s="5">
        <v>6.7612369352901394E-2</v>
      </c>
      <c r="HE244" s="5">
        <v>0.191753009471168</v>
      </c>
      <c r="HF244" s="5">
        <v>-0.175368775831069</v>
      </c>
      <c r="HG244" s="5">
        <v>0.15511621861361199</v>
      </c>
      <c r="HH244" s="5">
        <v>-3.30479426170854E-2</v>
      </c>
      <c r="HI244" s="5">
        <v>8.8150212430252506E-2</v>
      </c>
      <c r="HJ244" s="5">
        <v>-0.16067165538508801</v>
      </c>
      <c r="HK244" s="5">
        <v>0.12264695724906299</v>
      </c>
      <c r="HL244" s="5">
        <v>0.24285248232321399</v>
      </c>
      <c r="HM244" s="5">
        <v>2.65020241043747E-3</v>
      </c>
      <c r="HN244" s="5">
        <v>-5.8446525669072401E-2</v>
      </c>
      <c r="HO244" s="5">
        <v>0.16745047841369901</v>
      </c>
      <c r="HP244" s="5">
        <v>0.31282246318607099</v>
      </c>
      <c r="HQ244" s="5">
        <v>-6.3081279425016207E-2</v>
      </c>
      <c r="HR244" s="5">
        <v>0.37269122816686701</v>
      </c>
      <c r="HS244" s="5">
        <v>-0.208447267306822</v>
      </c>
      <c r="HT244" s="5">
        <v>-3.5013009971137599E-2</v>
      </c>
      <c r="HU244" s="5">
        <v>0.16773177856885399</v>
      </c>
      <c r="HV244" s="5">
        <v>0.222017740311894</v>
      </c>
      <c r="HW244" s="5">
        <v>-3.3884555685849603E-2</v>
      </c>
      <c r="HX244" s="5">
        <v>0.32468479881865098</v>
      </c>
      <c r="HY244" s="5">
        <v>-8.5894455107904999E-2</v>
      </c>
      <c r="HZ244" s="5">
        <v>-0.13006676975772</v>
      </c>
      <c r="IA244" s="5">
        <v>0.188905746109164</v>
      </c>
      <c r="IB244" s="5">
        <v>-0.262720051733217</v>
      </c>
      <c r="IC244" s="5">
        <v>0.216337567022475</v>
      </c>
      <c r="ID244" s="5">
        <v>0.181234730020889</v>
      </c>
      <c r="IE244" s="5">
        <v>0.12224736662040001</v>
      </c>
      <c r="IF244" s="5">
        <v>0.18969874560451999</v>
      </c>
      <c r="IG244" s="5">
        <v>5.13999637067254E-2</v>
      </c>
      <c r="IH244" s="5">
        <v>9.3365685323179307E-2</v>
      </c>
      <c r="II244" s="5">
        <v>2.34350668484921E-2</v>
      </c>
      <c r="IJ244" s="5">
        <v>1</v>
      </c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</row>
    <row r="245" spans="1:389" x14ac:dyDescent="0.45">
      <c r="A245" s="4" t="str">
        <f ca="1">"MUS / beta2dist in "&amp;CELL("address",'damages-1990'!$K$123)</f>
        <v>MUS / beta2dist in '[BHM betas v3pd.xlsx]damages-1990'!$K$123</v>
      </c>
      <c r="B245" s="6">
        <v>1.7943389751456901E-2</v>
      </c>
      <c r="C245" s="5">
        <v>-0.14420199207553899</v>
      </c>
      <c r="D245" s="5">
        <v>-0.14816008471716299</v>
      </c>
      <c r="E245" s="5">
        <v>0.11321748430987801</v>
      </c>
      <c r="F245" s="5">
        <v>-1.34213625917575E-2</v>
      </c>
      <c r="G245" s="5">
        <v>-1.11572834170295E-2</v>
      </c>
      <c r="H245" s="5">
        <v>3.6762481460563198E-2</v>
      </c>
      <c r="I245" s="5">
        <v>-1.7110132987878699E-2</v>
      </c>
      <c r="J245" s="5">
        <v>-1.29021667840099E-2</v>
      </c>
      <c r="K245" s="5">
        <v>-7.5825037875408494E-2</v>
      </c>
      <c r="L245" s="5">
        <v>-7.1060705354321602E-2</v>
      </c>
      <c r="M245" s="5">
        <v>3.2099863493563502E-2</v>
      </c>
      <c r="N245" s="5">
        <v>4.1992840393092201E-2</v>
      </c>
      <c r="O245" s="5">
        <v>-1.5802909467398499E-2</v>
      </c>
      <c r="P245" s="5">
        <v>-7.8838056897883396E-2</v>
      </c>
      <c r="Q245" s="5">
        <v>5.0950667252922903E-2</v>
      </c>
      <c r="R245" s="5">
        <v>-0.13229935228817599</v>
      </c>
      <c r="S245" s="5">
        <v>0.100885397441934</v>
      </c>
      <c r="T245" s="5">
        <v>0.19949917492288599</v>
      </c>
      <c r="U245" s="5">
        <v>-0.21063787116028301</v>
      </c>
      <c r="V245" s="5">
        <v>8.2035798098260407E-2</v>
      </c>
      <c r="W245" s="5">
        <v>-0.25000756470823399</v>
      </c>
      <c r="X245" s="5">
        <v>-0.165227815195918</v>
      </c>
      <c r="Y245" s="5">
        <v>0.124180512334798</v>
      </c>
      <c r="Z245" s="5">
        <v>7.0646336438047403E-3</v>
      </c>
      <c r="AA245" s="5">
        <v>-1.12089776339431E-2</v>
      </c>
      <c r="AB245" s="5">
        <v>-0.233787451328137</v>
      </c>
      <c r="AC245" s="5">
        <v>0.23690356359692499</v>
      </c>
      <c r="AD245" s="5">
        <v>-9.2492708538310306E-2</v>
      </c>
      <c r="AE245" s="5">
        <v>9.4177131771606401E-2</v>
      </c>
      <c r="AF245" s="5">
        <v>-0.102145329428948</v>
      </c>
      <c r="AG245" s="5">
        <v>5.2549474205984097E-2</v>
      </c>
      <c r="AH245" s="5">
        <v>6.1028565669522597E-2</v>
      </c>
      <c r="AI245" s="5">
        <v>-9.4799335020036596E-2</v>
      </c>
      <c r="AJ245" s="5">
        <v>-0.124148637072845</v>
      </c>
      <c r="AK245" s="5">
        <v>1.93034514517517E-3</v>
      </c>
      <c r="AL245" s="5">
        <v>-0.36434724651841199</v>
      </c>
      <c r="AM245" s="5">
        <v>0.42919403291456398</v>
      </c>
      <c r="AN245" s="5">
        <v>0.122786917590026</v>
      </c>
      <c r="AO245" s="5">
        <v>-0.152543670161885</v>
      </c>
      <c r="AP245" s="5">
        <v>0.154892068002774</v>
      </c>
      <c r="AQ245" s="5">
        <v>-0.133777756914883</v>
      </c>
      <c r="AR245" s="5">
        <v>-0.35594388122467302</v>
      </c>
      <c r="AS245" s="5">
        <v>0.417867160639881</v>
      </c>
      <c r="AT245" s="5">
        <v>-0.284992169480971</v>
      </c>
      <c r="AU245" s="5">
        <v>0.25250747768316001</v>
      </c>
      <c r="AV245" s="5">
        <v>-0.22194011553878201</v>
      </c>
      <c r="AW245" s="5">
        <v>0.27724809110448201</v>
      </c>
      <c r="AX245" s="5">
        <v>-0.221049987116549</v>
      </c>
      <c r="AY245" s="5">
        <v>0.28903236315394498</v>
      </c>
      <c r="AZ245" s="5">
        <v>0.12550057281843299</v>
      </c>
      <c r="BA245" s="5">
        <v>-0.11507356403072699</v>
      </c>
      <c r="BB245" s="5">
        <v>-9.6834254501608694E-2</v>
      </c>
      <c r="BC245" s="5">
        <v>-1.8534478563543101E-2</v>
      </c>
      <c r="BD245" s="5">
        <v>5.5489824316021397E-2</v>
      </c>
      <c r="BE245" s="5">
        <v>-0.16406287384818199</v>
      </c>
      <c r="BF245" s="5">
        <v>-0.13397930580995901</v>
      </c>
      <c r="BG245" s="5">
        <v>6.9234679866744905E-2</v>
      </c>
      <c r="BH245" s="5">
        <v>-0.25242300088742198</v>
      </c>
      <c r="BI245" s="5">
        <v>0.24343093488560799</v>
      </c>
      <c r="BJ245" s="5">
        <v>5.9621593233294697E-2</v>
      </c>
      <c r="BK245" s="5">
        <v>-1.04584490678509E-2</v>
      </c>
      <c r="BL245" s="5">
        <v>0.14283514213708601</v>
      </c>
      <c r="BM245" s="5">
        <v>-0.14356941705039</v>
      </c>
      <c r="BN245" s="5">
        <v>1.87193851834766E-2</v>
      </c>
      <c r="BO245" s="5">
        <v>-2.2876490037792699E-2</v>
      </c>
      <c r="BP245" s="5">
        <v>0.12301405080787201</v>
      </c>
      <c r="BQ245" s="5">
        <v>-0.19137986951361999</v>
      </c>
      <c r="BR245" s="5">
        <v>-0.26095173671135102</v>
      </c>
      <c r="BS245" s="5">
        <v>0.24562866579234799</v>
      </c>
      <c r="BT245" s="5">
        <v>-0.27145269322931198</v>
      </c>
      <c r="BU245" s="5">
        <v>0.28688471917904201</v>
      </c>
      <c r="BV245" s="5">
        <v>-0.27368617977892501</v>
      </c>
      <c r="BW245" s="5">
        <v>0.280524294428522</v>
      </c>
      <c r="BX245" s="5">
        <v>-0.34512486285468802</v>
      </c>
      <c r="BY245" s="5">
        <v>0.40547796005958298</v>
      </c>
      <c r="BZ245" s="5">
        <v>-0.31849581684440198</v>
      </c>
      <c r="CA245" s="5">
        <v>0.34036939607292099</v>
      </c>
      <c r="CB245" s="5">
        <v>-0.53037242132693896</v>
      </c>
      <c r="CC245" s="5">
        <v>0.55209523685345696</v>
      </c>
      <c r="CD245" s="5">
        <v>0.110375917454804</v>
      </c>
      <c r="CE245" s="5">
        <v>-0.230162214972468</v>
      </c>
      <c r="CF245" s="5">
        <v>-0.22367899022731599</v>
      </c>
      <c r="CG245" s="5">
        <v>0.269564092064348</v>
      </c>
      <c r="CH245" s="5">
        <v>-0.430088290375089</v>
      </c>
      <c r="CI245" s="5">
        <v>0.51090391374146205</v>
      </c>
      <c r="CJ245" s="5">
        <v>-0.226346882285442</v>
      </c>
      <c r="CK245" s="5">
        <v>0.187319135815811</v>
      </c>
      <c r="CL245" s="5">
        <v>0.17500408581554</v>
      </c>
      <c r="CM245" s="5">
        <v>-0.191197096580107</v>
      </c>
      <c r="CN245" s="5">
        <v>8.4381422347915194E-2</v>
      </c>
      <c r="CO245" s="5">
        <v>-9.7497181822166296E-2</v>
      </c>
      <c r="CP245" s="5">
        <v>7.6561298360692101E-2</v>
      </c>
      <c r="CQ245" s="5">
        <v>-7.2413053724877802E-2</v>
      </c>
      <c r="CR245" s="5">
        <v>-9.7514270568769101E-2</v>
      </c>
      <c r="CS245" s="5">
        <v>8.7002819622417696E-2</v>
      </c>
      <c r="CT245" s="5">
        <v>2.70037094019971E-2</v>
      </c>
      <c r="CU245" s="5">
        <v>-7.0583384871425597E-3</v>
      </c>
      <c r="CV245" s="5">
        <v>-0.15298646237070199</v>
      </c>
      <c r="CW245" s="5">
        <v>0.15517296009530801</v>
      </c>
      <c r="CX245" s="5">
        <v>-0.27221213222213098</v>
      </c>
      <c r="CY245" s="5">
        <v>0.25399939004128502</v>
      </c>
      <c r="CZ245" s="5">
        <v>-0.37555596312733902</v>
      </c>
      <c r="DA245" s="5">
        <v>0.386764481579561</v>
      </c>
      <c r="DB245" s="5">
        <v>-0.160555571660917</v>
      </c>
      <c r="DC245" s="5">
        <v>8.8564170552740296E-2</v>
      </c>
      <c r="DD245" s="5">
        <v>0.187414525592554</v>
      </c>
      <c r="DE245" s="5">
        <v>-0.174776786112155</v>
      </c>
      <c r="DF245" s="5">
        <v>3.7972233890253899E-2</v>
      </c>
      <c r="DG245" s="5">
        <v>-0.10436447820953999</v>
      </c>
      <c r="DH245" s="5">
        <v>-7.2138882413195896E-2</v>
      </c>
      <c r="DI245" s="5">
        <v>4.1806080056863398E-2</v>
      </c>
      <c r="DJ245" s="5">
        <v>6.9752659519147303E-2</v>
      </c>
      <c r="DK245" s="5">
        <v>-2.4637063989224599E-2</v>
      </c>
      <c r="DL245" s="5">
        <v>5.2947218695646399E-2</v>
      </c>
      <c r="DM245" s="5">
        <v>-6.8067493934955495E-2</v>
      </c>
      <c r="DN245" s="5">
        <v>3.8180389018966497E-2</v>
      </c>
      <c r="DO245" s="5">
        <v>2.1228176503384901E-2</v>
      </c>
      <c r="DP245" s="5">
        <v>-9.8644712930294406E-2</v>
      </c>
      <c r="DQ245" s="5">
        <v>-2.2122203790451898E-2</v>
      </c>
      <c r="DR245" s="5">
        <v>-4.8768706637576299E-2</v>
      </c>
      <c r="DS245" s="5">
        <v>3.98200303775837E-2</v>
      </c>
      <c r="DT245" s="5">
        <v>-0.20047297030646699</v>
      </c>
      <c r="DU245" s="5">
        <v>0.160930812526311</v>
      </c>
      <c r="DV245" s="5">
        <v>-0.27293281258783197</v>
      </c>
      <c r="DW245" s="5">
        <v>0.30940327983854599</v>
      </c>
      <c r="DX245" s="5">
        <v>8.3756967720400005E-2</v>
      </c>
      <c r="DY245" s="5">
        <v>-8.8983177438869701E-2</v>
      </c>
      <c r="DZ245" s="5">
        <v>7.2431417156971004E-2</v>
      </c>
      <c r="EA245" s="5">
        <v>-5.5282453638648199E-2</v>
      </c>
      <c r="EB245" s="5">
        <v>-0.23989546139297699</v>
      </c>
      <c r="EC245" s="5">
        <v>0.238939962681436</v>
      </c>
      <c r="ED245" s="5">
        <v>-0.22308796704151099</v>
      </c>
      <c r="EE245" s="5">
        <v>0.19657408676733901</v>
      </c>
      <c r="EF245" s="5">
        <v>-9.6274875169103796E-2</v>
      </c>
      <c r="EG245" s="5">
        <v>7.4539418835406296E-2</v>
      </c>
      <c r="EH245" s="5">
        <v>4.0200052327487003E-2</v>
      </c>
      <c r="EI245" s="5">
        <v>-6.5853223071030295E-2</v>
      </c>
      <c r="EJ245" s="5">
        <v>-5.2431219967398301E-2</v>
      </c>
      <c r="EK245" s="5">
        <v>3.5718475463047399E-2</v>
      </c>
      <c r="EL245" s="5">
        <v>-0.36767103467157602</v>
      </c>
      <c r="EM245" s="5">
        <v>0.39701788743503802</v>
      </c>
      <c r="EN245" s="5">
        <v>-0.19077902479112299</v>
      </c>
      <c r="EO245" s="5">
        <v>0.182426036891355</v>
      </c>
      <c r="EP245" s="5">
        <v>8.7889922763525197E-2</v>
      </c>
      <c r="EQ245" s="5">
        <v>-6.6477065022330598E-2</v>
      </c>
      <c r="ER245" s="5">
        <v>-0.29034979488539198</v>
      </c>
      <c r="ES245" s="5">
        <v>0.33722679999850302</v>
      </c>
      <c r="ET245" s="5">
        <v>-0.19977385502946601</v>
      </c>
      <c r="EU245" s="5">
        <v>0.27383484105962003</v>
      </c>
      <c r="EV245" s="5">
        <v>-0.29704043822560999</v>
      </c>
      <c r="EW245" s="5">
        <v>0.38062471900285799</v>
      </c>
      <c r="EX245" s="5">
        <v>-7.7359149822140094E-2</v>
      </c>
      <c r="EY245" s="5">
        <v>8.4269963594139297E-2</v>
      </c>
      <c r="EZ245" s="5">
        <v>-0.26261767910393902</v>
      </c>
      <c r="FA245" s="5">
        <v>0.31988569976949299</v>
      </c>
      <c r="FB245" s="5">
        <v>-5.2091016595769302E-3</v>
      </c>
      <c r="FC245" s="5">
        <v>-1.8306174556375201E-2</v>
      </c>
      <c r="FD245" s="5">
        <v>-0.27551276887078402</v>
      </c>
      <c r="FE245" s="5">
        <v>0.31001837947257799</v>
      </c>
      <c r="FF245" s="5">
        <v>7.0579275608538994E-2</v>
      </c>
      <c r="FG245" s="5">
        <v>-0.101186768850123</v>
      </c>
      <c r="FH245" s="5">
        <v>-0.20606352805454101</v>
      </c>
      <c r="FI245" s="5">
        <v>0.20269251144311601</v>
      </c>
      <c r="FJ245" s="5">
        <v>-8.5752232559730204E-2</v>
      </c>
      <c r="FK245" s="5">
        <v>-3.0126452929712302E-3</v>
      </c>
      <c r="FL245" s="5">
        <v>0.18354376026491001</v>
      </c>
      <c r="FM245" s="5">
        <v>-0.215906097192127</v>
      </c>
      <c r="FN245" s="5">
        <v>4.0257064326201797E-2</v>
      </c>
      <c r="FO245" s="5">
        <v>-0.15671255257084299</v>
      </c>
      <c r="FP245" s="5">
        <v>-0.13660968405940499</v>
      </c>
      <c r="FQ245" s="5">
        <v>4.9479651263040297E-2</v>
      </c>
      <c r="FR245" s="5">
        <v>-2.4479332302399199E-2</v>
      </c>
      <c r="FS245" s="5">
        <v>0.13079931794716501</v>
      </c>
      <c r="FT245" s="5">
        <v>-0.20324474436894099</v>
      </c>
      <c r="FU245" s="5">
        <v>0.145051422818122</v>
      </c>
      <c r="FV245" s="5">
        <v>-0.118083621849381</v>
      </c>
      <c r="FW245" s="5">
        <v>0.123420701134455</v>
      </c>
      <c r="FX245" s="5">
        <v>-0.39944108857910499</v>
      </c>
      <c r="FY245" s="5">
        <v>0.47470593820476398</v>
      </c>
      <c r="FZ245" s="5">
        <v>-0.145876856989787</v>
      </c>
      <c r="GA245" s="5">
        <v>7.4380454444042607E-2</v>
      </c>
      <c r="GB245" s="5">
        <v>4.65763792665694E-2</v>
      </c>
      <c r="GC245" s="5">
        <v>-0.11382519937155799</v>
      </c>
      <c r="GD245" s="5">
        <v>6.5699892986584699E-2</v>
      </c>
      <c r="GE245" s="5">
        <v>-6.6399678892605202E-2</v>
      </c>
      <c r="GF245" s="5">
        <v>-0.18104215179991701</v>
      </c>
      <c r="GG245" s="5">
        <v>0.118573371418002</v>
      </c>
      <c r="GH245" s="5">
        <v>0.12749815018447699</v>
      </c>
      <c r="GI245" s="5">
        <v>-0.13290716399869701</v>
      </c>
      <c r="GJ245" s="5">
        <v>-0.25740847532898298</v>
      </c>
      <c r="GK245" s="5">
        <v>0.34324752925382701</v>
      </c>
      <c r="GL245" s="5">
        <v>3.4456935337015798E-2</v>
      </c>
      <c r="GM245" s="5">
        <v>-6.7632106754916099E-2</v>
      </c>
      <c r="GN245" s="5">
        <v>1.62846527055702E-2</v>
      </c>
      <c r="GO245" s="5">
        <v>-8.3891627903004903E-2</v>
      </c>
      <c r="GP245" s="5">
        <v>-9.8022769577476604E-2</v>
      </c>
      <c r="GQ245" s="5">
        <v>1.39046189820241E-2</v>
      </c>
      <c r="GR245" s="5">
        <v>-0.19138941181167901</v>
      </c>
      <c r="GS245" s="5">
        <v>0.26571798473296698</v>
      </c>
      <c r="GT245" s="5">
        <v>-0.119479136525747</v>
      </c>
      <c r="GU245" s="5">
        <v>6.75902882180964E-2</v>
      </c>
      <c r="GV245" s="5">
        <v>-0.25217668881790201</v>
      </c>
      <c r="GW245" s="5">
        <v>0.262523306920252</v>
      </c>
      <c r="GX245" s="5">
        <v>-0.202303515099896</v>
      </c>
      <c r="GY245" s="5">
        <v>0.184320714015068</v>
      </c>
      <c r="GZ245" s="5">
        <v>0.16640763604802</v>
      </c>
      <c r="HA245" s="5">
        <v>-0.166141066864295</v>
      </c>
      <c r="HB245" s="5">
        <v>-0.29858657297697899</v>
      </c>
      <c r="HC245" s="5">
        <v>0.25987726295660402</v>
      </c>
      <c r="HD245" s="5">
        <v>8.3227409532146794E-3</v>
      </c>
      <c r="HE245" s="5">
        <v>-8.5664499477476896E-2</v>
      </c>
      <c r="HF245" s="5">
        <v>0.125963245652569</v>
      </c>
      <c r="HG245" s="5">
        <v>-0.10407819052850199</v>
      </c>
      <c r="HH245" s="5">
        <v>3.5866374712733198E-2</v>
      </c>
      <c r="HI245" s="5">
        <v>-4.9290835818147097E-2</v>
      </c>
      <c r="HJ245" s="5">
        <v>9.5499626622342404E-2</v>
      </c>
      <c r="HK245" s="5">
        <v>-6.3278969806807306E-2</v>
      </c>
      <c r="HL245" s="5">
        <v>-0.12757065723965499</v>
      </c>
      <c r="HM245" s="5">
        <v>7.9029933853182396E-2</v>
      </c>
      <c r="HN245" s="5">
        <v>0.10431627948142</v>
      </c>
      <c r="HO245" s="5">
        <v>-0.13168209184570101</v>
      </c>
      <c r="HP245" s="5">
        <v>-0.17890161771413601</v>
      </c>
      <c r="HQ245" s="5">
        <v>0.165463102321668</v>
      </c>
      <c r="HR245" s="5">
        <v>-0.229800389101529</v>
      </c>
      <c r="HS245" s="5">
        <v>0.28635058945387898</v>
      </c>
      <c r="HT245" s="5">
        <v>7.7898528810941101E-2</v>
      </c>
      <c r="HU245" s="5">
        <v>-0.107622451557946</v>
      </c>
      <c r="HV245" s="5">
        <v>-0.16319997017871299</v>
      </c>
      <c r="HW245" s="5">
        <v>0.180609768355147</v>
      </c>
      <c r="HX245" s="5">
        <v>-0.20361513049841801</v>
      </c>
      <c r="HY245" s="5">
        <v>0.188181012113039</v>
      </c>
      <c r="HZ245" s="5">
        <v>0.14647159748838701</v>
      </c>
      <c r="IA245" s="5">
        <v>-0.16520454493829101</v>
      </c>
      <c r="IB245" s="5">
        <v>0.25679387154792499</v>
      </c>
      <c r="IC245" s="5">
        <v>-0.24320925129617499</v>
      </c>
      <c r="ID245" s="5">
        <v>-6.0849660131571601E-3</v>
      </c>
      <c r="IE245" s="5">
        <v>-8.8478176322685106E-2</v>
      </c>
      <c r="IF245" s="5">
        <v>-8.7553382910236205E-2</v>
      </c>
      <c r="IG245" s="5">
        <v>6.07221142024141E-2</v>
      </c>
      <c r="IH245" s="5">
        <v>-6.6931657371308198E-2</v>
      </c>
      <c r="II245" s="5">
        <v>6.2631377806910499E-2</v>
      </c>
      <c r="IJ245" s="5">
        <v>-0.87387550328661801</v>
      </c>
      <c r="IK245" s="5">
        <v>1</v>
      </c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</row>
    <row r="246" spans="1:389" x14ac:dyDescent="0.45">
      <c r="A246" s="4" t="str">
        <f ca="1">"MWI / beta1dist in "&amp;CELL("address",'damages-1990'!$J$124)</f>
        <v>MWI / beta1dist in '[BHM betas v3pd.xlsx]damages-1990'!$J$124</v>
      </c>
      <c r="B246" s="6">
        <v>0.34953218251308399</v>
      </c>
      <c r="C246" s="5">
        <v>2.1801035259636801E-2</v>
      </c>
      <c r="D246" s="5">
        <v>0.576253638626264</v>
      </c>
      <c r="E246" s="5">
        <v>-0.13543806316180201</v>
      </c>
      <c r="F246" s="5">
        <v>0.20044938345524799</v>
      </c>
      <c r="G246" s="5">
        <v>6.6329737207275405E-2</v>
      </c>
      <c r="H246" s="5">
        <v>-0.13246271678837401</v>
      </c>
      <c r="I246" s="5">
        <v>0.13646296373709199</v>
      </c>
      <c r="J246" s="5">
        <v>0.686455470271365</v>
      </c>
      <c r="K246" s="5">
        <v>-0.34580170678809602</v>
      </c>
      <c r="L246" s="5">
        <v>0.520350664175805</v>
      </c>
      <c r="M246" s="5">
        <v>-0.184335716852358</v>
      </c>
      <c r="N246" s="5">
        <v>-0.120460343017674</v>
      </c>
      <c r="O246" s="5">
        <v>0.20063388177329899</v>
      </c>
      <c r="P246" s="5">
        <v>0.22707442297598199</v>
      </c>
      <c r="Q246" s="5">
        <v>1.49774249720685E-2</v>
      </c>
      <c r="R246" s="5">
        <v>0.54498451524332503</v>
      </c>
      <c r="S246" s="5">
        <v>-0.15361392577851099</v>
      </c>
      <c r="T246" s="5">
        <v>-3.0175343826427399E-2</v>
      </c>
      <c r="U246" s="5">
        <v>6.3281860718741298E-2</v>
      </c>
      <c r="V246" s="5">
        <v>0.27319642297865798</v>
      </c>
      <c r="W246" s="5">
        <v>0.142365787558178</v>
      </c>
      <c r="X246" s="5">
        <v>0.57529194714021503</v>
      </c>
      <c r="Y246" s="5">
        <v>-0.184107158344783</v>
      </c>
      <c r="Z246" s="5">
        <v>3.0609378414852499E-2</v>
      </c>
      <c r="AA246" s="5">
        <v>0.101658675796131</v>
      </c>
      <c r="AB246" s="5">
        <v>0.56809380070664806</v>
      </c>
      <c r="AC246" s="5">
        <v>-0.21327608779555701</v>
      </c>
      <c r="AD246" s="5">
        <v>0.57717207753379596</v>
      </c>
      <c r="AE246" s="5">
        <v>-0.17815419145911601</v>
      </c>
      <c r="AF246" s="5">
        <v>0.27049466537859201</v>
      </c>
      <c r="AG246" s="5">
        <v>5.56275289523495E-2</v>
      </c>
      <c r="AH246" s="5">
        <v>0.16531755366839601</v>
      </c>
      <c r="AI246" s="5">
        <v>6.2353866318040803E-2</v>
      </c>
      <c r="AJ246" s="5">
        <v>0.62474189402375602</v>
      </c>
      <c r="AK246" s="5">
        <v>-0.32005465067706901</v>
      </c>
      <c r="AL246" s="5">
        <v>0.35281239630287198</v>
      </c>
      <c r="AM246" s="5">
        <v>-0.14864734513774899</v>
      </c>
      <c r="AN246" s="5">
        <v>7.3709025713359105E-2</v>
      </c>
      <c r="AO246" s="5">
        <v>7.3310999912553895E-2</v>
      </c>
      <c r="AP246" s="5">
        <v>-4.19197725225183E-2</v>
      </c>
      <c r="AQ246" s="5">
        <v>8.4516854185134299E-2</v>
      </c>
      <c r="AR246" s="5">
        <v>0.34351865007085303</v>
      </c>
      <c r="AS246" s="5">
        <v>2.1950422925360601E-2</v>
      </c>
      <c r="AT246" s="5">
        <v>0.196431029552883</v>
      </c>
      <c r="AU246" s="5">
        <v>3.5281119850365202E-2</v>
      </c>
      <c r="AV246" s="5">
        <v>0.492166674290821</v>
      </c>
      <c r="AW246" s="5">
        <v>-4.6187782723175003E-2</v>
      </c>
      <c r="AX246" s="5">
        <v>0.55120879903158704</v>
      </c>
      <c r="AY246" s="5">
        <v>-0.137066319432816</v>
      </c>
      <c r="AZ246" s="5">
        <v>0.32534637522001902</v>
      </c>
      <c r="BA246" s="5">
        <v>-7.3890315463813305E-2</v>
      </c>
      <c r="BB246" s="5">
        <v>0.60437620128647596</v>
      </c>
      <c r="BC246" s="5">
        <v>-0.19800553135288801</v>
      </c>
      <c r="BD246" s="5">
        <v>0.15272740293602499</v>
      </c>
      <c r="BE246" s="5">
        <v>0.206428132837848</v>
      </c>
      <c r="BF246" s="5">
        <v>0.39911942818454499</v>
      </c>
      <c r="BG246" s="5">
        <v>-3.6227784951333802E-2</v>
      </c>
      <c r="BH246" s="5">
        <v>0.67224943571453399</v>
      </c>
      <c r="BI246" s="5">
        <v>-0.24980707193110299</v>
      </c>
      <c r="BJ246" s="5">
        <v>-0.30365629109067499</v>
      </c>
      <c r="BK246" s="5">
        <v>0.252973142342031</v>
      </c>
      <c r="BL246" s="5">
        <v>-4.8912137861098798E-2</v>
      </c>
      <c r="BM246" s="5">
        <v>6.6721375158629304E-2</v>
      </c>
      <c r="BN246" s="5">
        <v>-0.11620328503317599</v>
      </c>
      <c r="BO246" s="5">
        <v>0.25468363085626899</v>
      </c>
      <c r="BP246" s="5">
        <v>-2.9047302736048199E-2</v>
      </c>
      <c r="BQ246" s="5">
        <v>0.12036127503364299</v>
      </c>
      <c r="BR246" s="5">
        <v>0.51989274597187496</v>
      </c>
      <c r="BS246" s="5">
        <v>-0.16989430411808101</v>
      </c>
      <c r="BT246" s="5">
        <v>0.64147712434914905</v>
      </c>
      <c r="BU246" s="5">
        <v>-0.23977876310027199</v>
      </c>
      <c r="BV246" s="5">
        <v>0.690432273992724</v>
      </c>
      <c r="BW246" s="5">
        <v>-0.27049564216769401</v>
      </c>
      <c r="BX246" s="5">
        <v>0.612775327433566</v>
      </c>
      <c r="BY246" s="5">
        <v>-0.22619205830827299</v>
      </c>
      <c r="BZ246" s="5">
        <v>0.58485104431253798</v>
      </c>
      <c r="CA246" s="5">
        <v>-0.19384028568287401</v>
      </c>
      <c r="CB246" s="5">
        <v>0.32942001373824098</v>
      </c>
      <c r="CC246" s="5">
        <v>-5.2036535019893998E-2</v>
      </c>
      <c r="CD246" s="5">
        <v>0.42667133859666301</v>
      </c>
      <c r="CE246" s="5">
        <v>-0.14493655077224801</v>
      </c>
      <c r="CF246" s="5">
        <v>0.36493154429351399</v>
      </c>
      <c r="CG246" s="5">
        <v>-4.5944921848447E-2</v>
      </c>
      <c r="CH246" s="5">
        <v>0.26171117421696599</v>
      </c>
      <c r="CI246" s="5">
        <v>-6.5309830823495202E-2</v>
      </c>
      <c r="CJ246" s="5">
        <v>0.21252973830122901</v>
      </c>
      <c r="CK246" s="5">
        <v>-2.4729910988220399E-2</v>
      </c>
      <c r="CL246" s="5">
        <v>2.2444277017843701E-2</v>
      </c>
      <c r="CM246" s="5">
        <v>4.9349009488288603E-2</v>
      </c>
      <c r="CN246" s="5">
        <v>2.6995985036561101E-2</v>
      </c>
      <c r="CO246" s="5">
        <v>7.0226961646157701E-2</v>
      </c>
      <c r="CP246" s="5">
        <v>0.51011968481130798</v>
      </c>
      <c r="CQ246" s="5">
        <v>-0.169455366850782</v>
      </c>
      <c r="CR246" s="5">
        <v>0.222569494668615</v>
      </c>
      <c r="CS246" s="5">
        <v>5.9464103771783898E-2</v>
      </c>
      <c r="CT246" s="5">
        <v>1.5350238438806001E-2</v>
      </c>
      <c r="CU246" s="5">
        <v>2.33264515278175E-2</v>
      </c>
      <c r="CV246" s="5">
        <v>0.432057734905816</v>
      </c>
      <c r="CW246" s="5">
        <v>-0.15052995033182101</v>
      </c>
      <c r="CX246" s="5">
        <v>0.46559603291887902</v>
      </c>
      <c r="CY246" s="5">
        <v>-8.23172797457042E-2</v>
      </c>
      <c r="CZ246" s="5">
        <v>0.52853079292562299</v>
      </c>
      <c r="DA246" s="5">
        <v>-0.17082237630511299</v>
      </c>
      <c r="DB246" s="5">
        <v>0.36258104265546598</v>
      </c>
      <c r="DC246" s="5">
        <v>7.3890533886989296E-2</v>
      </c>
      <c r="DD246" s="5">
        <v>0.50697875332251596</v>
      </c>
      <c r="DE246" s="5">
        <v>-0.128595109682659</v>
      </c>
      <c r="DF246" s="5">
        <v>0.50573767523848501</v>
      </c>
      <c r="DG246" s="5">
        <v>-0.177269996636261</v>
      </c>
      <c r="DH246" s="5">
        <v>0.29024486217099099</v>
      </c>
      <c r="DI246" s="5">
        <v>1.7223939269824101E-2</v>
      </c>
      <c r="DJ246" s="5">
        <v>-9.4438294664073594E-2</v>
      </c>
      <c r="DK246" s="5">
        <v>9.9272927530116004E-2</v>
      </c>
      <c r="DL246" s="5">
        <v>0.58386200778674602</v>
      </c>
      <c r="DM246" s="5">
        <v>-0.16144313225821399</v>
      </c>
      <c r="DN246" s="5">
        <v>-0.15838467306077</v>
      </c>
      <c r="DO246" s="5">
        <v>0.10738731665547201</v>
      </c>
      <c r="DP246" s="5">
        <v>0.365923639161914</v>
      </c>
      <c r="DQ246" s="5">
        <v>-0.123051903697937</v>
      </c>
      <c r="DR246" s="5">
        <v>0.108759061158652</v>
      </c>
      <c r="DS246" s="5">
        <v>0.10580888878899899</v>
      </c>
      <c r="DT246" s="5">
        <v>0.195674422064154</v>
      </c>
      <c r="DU246" s="5">
        <v>-4.4353887900266198E-3</v>
      </c>
      <c r="DV246" s="5">
        <v>0.51477845335396</v>
      </c>
      <c r="DW246" s="5">
        <v>-0.202998940433263</v>
      </c>
      <c r="DX246" s="5">
        <v>-3.4704946844252203E-2</v>
      </c>
      <c r="DY246" s="5">
        <v>0.105973461844089</v>
      </c>
      <c r="DZ246" s="5">
        <v>-6.1231518903016702E-2</v>
      </c>
      <c r="EA246" s="5">
        <v>0.15764663951518099</v>
      </c>
      <c r="EB246" s="5">
        <v>0.58399269794657005</v>
      </c>
      <c r="EC246" s="5">
        <v>-0.20545516233195901</v>
      </c>
      <c r="ED246" s="5">
        <v>0.60445579685935702</v>
      </c>
      <c r="EE246" s="5">
        <v>-0.193443488242758</v>
      </c>
      <c r="EF246" s="5">
        <v>0.21534108869344801</v>
      </c>
      <c r="EG246" s="5">
        <v>4.0844925016749599E-2</v>
      </c>
      <c r="EH246" s="5">
        <v>0.60914934163188195</v>
      </c>
      <c r="EI246" s="5">
        <v>-0.16641375215354701</v>
      </c>
      <c r="EJ246" s="5">
        <v>0.64730298771876504</v>
      </c>
      <c r="EK246" s="5">
        <v>-0.191315683896851</v>
      </c>
      <c r="EL246" s="5">
        <v>0.62455353127028401</v>
      </c>
      <c r="EM246" s="5">
        <v>-0.278354243717993</v>
      </c>
      <c r="EN246" s="5">
        <v>0.28021114686576698</v>
      </c>
      <c r="EO246" s="5">
        <v>-1.8332794668618702E-2</v>
      </c>
      <c r="EP246" s="5">
        <v>0.344875492956976</v>
      </c>
      <c r="EQ246" s="5">
        <v>-7.6603214174370798E-2</v>
      </c>
      <c r="ER246" s="5">
        <v>0.38833108567847202</v>
      </c>
      <c r="ES246" s="5">
        <v>9.1416496989874599E-3</v>
      </c>
      <c r="ET246" s="5">
        <v>0.38385400744395998</v>
      </c>
      <c r="EU246" s="5">
        <v>-6.9472240083936806E-2</v>
      </c>
      <c r="EV246" s="5">
        <v>0.34875522671164799</v>
      </c>
      <c r="EW246" s="5">
        <v>-2.7964189116223601E-2</v>
      </c>
      <c r="EX246" s="5">
        <v>0.28660208150399602</v>
      </c>
      <c r="EY246" s="5">
        <v>-1.43254439261881E-2</v>
      </c>
      <c r="EZ246" s="5">
        <v>0.39212843568018302</v>
      </c>
      <c r="FA246" s="5">
        <v>-5.3804512720274098E-3</v>
      </c>
      <c r="FB246" s="5">
        <v>0.160866052002443</v>
      </c>
      <c r="FC246" s="5">
        <v>6.9141028040616906E-2</v>
      </c>
      <c r="FD246" s="5">
        <v>0.43574555026703699</v>
      </c>
      <c r="FE246" s="5">
        <v>-0.15087865172265399</v>
      </c>
      <c r="FF246" s="5">
        <v>0.14413725385617299</v>
      </c>
      <c r="FG246" s="5">
        <v>3.8854218452772399E-2</v>
      </c>
      <c r="FH246" s="5">
        <v>0.53183293657249298</v>
      </c>
      <c r="FI246" s="5">
        <v>-0.19172043731778399</v>
      </c>
      <c r="FJ246" s="5">
        <v>0.45175876946267002</v>
      </c>
      <c r="FK246" s="5">
        <v>-2.3408675123350001E-2</v>
      </c>
      <c r="FL246" s="5">
        <v>-3.3798560005139602E-2</v>
      </c>
      <c r="FM246" s="5">
        <v>0.122231804276558</v>
      </c>
      <c r="FN246" s="5">
        <v>0.58252524897320102</v>
      </c>
      <c r="FO246" s="5">
        <v>-0.22492423460959701</v>
      </c>
      <c r="FP246" s="5">
        <v>0.56868869037465097</v>
      </c>
      <c r="FQ246" s="5">
        <v>-0.22148721046513301</v>
      </c>
      <c r="FR246" s="5">
        <v>-0.112318184881153</v>
      </c>
      <c r="FS246" s="5">
        <v>0.156464087825016</v>
      </c>
      <c r="FT246" s="5">
        <v>0.38353962478185899</v>
      </c>
      <c r="FU246" s="5">
        <v>2.53447553230056E-3</v>
      </c>
      <c r="FV246" s="5">
        <v>0.239581983108761</v>
      </c>
      <c r="FW246" s="5">
        <v>5.04438414144407E-2</v>
      </c>
      <c r="FX246" s="5">
        <v>0.40220894806623603</v>
      </c>
      <c r="FY246" s="5">
        <v>-0.116639615947673</v>
      </c>
      <c r="FZ246" s="5">
        <v>0.48550795334638303</v>
      </c>
      <c r="GA246" s="5">
        <v>-6.4595673148448898E-2</v>
      </c>
      <c r="GB246" s="5">
        <v>0.14746174007628199</v>
      </c>
      <c r="GC246" s="5">
        <v>0.125883587649743</v>
      </c>
      <c r="GD246" s="5">
        <v>-0.25553582694614402</v>
      </c>
      <c r="GE246" s="5">
        <v>0.32116314202738999</v>
      </c>
      <c r="GF246" s="5">
        <v>0.43337296802731701</v>
      </c>
      <c r="GG246" s="5">
        <v>-6.7634420602659007E-2</v>
      </c>
      <c r="GH246" s="5">
        <v>-0.273458758723512</v>
      </c>
      <c r="GI246" s="5">
        <v>0.224200267295836</v>
      </c>
      <c r="GJ246" s="5">
        <v>0.47286530880278399</v>
      </c>
      <c r="GK246" s="5">
        <v>-0.19403976380274801</v>
      </c>
      <c r="GL246" s="5">
        <v>0.28998253176599198</v>
      </c>
      <c r="GM246" s="5">
        <v>-5.6757625185849397E-2</v>
      </c>
      <c r="GN246" s="5">
        <v>0.207199900856435</v>
      </c>
      <c r="GO246" s="5">
        <v>6.13497587276065E-2</v>
      </c>
      <c r="GP246" s="5">
        <v>0.63389891985916202</v>
      </c>
      <c r="GQ246" s="5">
        <v>-0.292661676020957</v>
      </c>
      <c r="GR246" s="5">
        <v>0.508588811555998</v>
      </c>
      <c r="GS246" s="5">
        <v>-0.231981893072401</v>
      </c>
      <c r="GT246" s="5">
        <v>0.33183620579588302</v>
      </c>
      <c r="GU246" s="5">
        <v>2.93713891191478E-2</v>
      </c>
      <c r="GV246" s="5">
        <v>0.50140513105451701</v>
      </c>
      <c r="GW246" s="5">
        <v>-0.20196574000777701</v>
      </c>
      <c r="GX246" s="5">
        <v>0.36028467053538599</v>
      </c>
      <c r="GY246" s="5">
        <v>-1.38634611529315E-2</v>
      </c>
      <c r="GZ246" s="5">
        <v>-4.9383802548010003E-2</v>
      </c>
      <c r="HA246" s="5">
        <v>6.9386847904454901E-2</v>
      </c>
      <c r="HB246" s="5">
        <v>0.44783758437211801</v>
      </c>
      <c r="HC246" s="5">
        <v>-0.103614901383036</v>
      </c>
      <c r="HD246" s="5">
        <v>0.13330666806139699</v>
      </c>
      <c r="HE246" s="5">
        <v>0.311455358957968</v>
      </c>
      <c r="HF246" s="5">
        <v>-4.4285782900511703E-2</v>
      </c>
      <c r="HG246" s="5">
        <v>7.3640744950800002E-2</v>
      </c>
      <c r="HH246" s="5">
        <v>2.7826063196898201E-2</v>
      </c>
      <c r="HI246" s="5">
        <v>8.5575721487986797E-2</v>
      </c>
      <c r="HJ246" s="5">
        <v>-6.5778749581987095E-2</v>
      </c>
      <c r="HK246" s="5">
        <v>7.7530646751332297E-2</v>
      </c>
      <c r="HL246" s="5">
        <v>0.49224955983132901</v>
      </c>
      <c r="HM246" s="5">
        <v>-0.13657311026888599</v>
      </c>
      <c r="HN246" s="5">
        <v>0.108294924932325</v>
      </c>
      <c r="HO246" s="5">
        <v>7.6793245601589802E-2</v>
      </c>
      <c r="HP246" s="5">
        <v>0.60523801587492498</v>
      </c>
      <c r="HQ246" s="5">
        <v>-0.24697962608882201</v>
      </c>
      <c r="HR246" s="5">
        <v>0.51742240999813904</v>
      </c>
      <c r="HS246" s="5">
        <v>-0.134049613945075</v>
      </c>
      <c r="HT246" s="5">
        <v>0.126245315601867</v>
      </c>
      <c r="HU246" s="5">
        <v>8.4383059694743898E-2</v>
      </c>
      <c r="HV246" s="5">
        <v>0.53130919165275803</v>
      </c>
      <c r="HW246" s="5">
        <v>-0.12929932720804199</v>
      </c>
      <c r="HX246" s="5">
        <v>0.478230869226554</v>
      </c>
      <c r="HY246" s="5">
        <v>-0.110581721801843</v>
      </c>
      <c r="HZ246" s="5">
        <v>3.6510716976122702E-2</v>
      </c>
      <c r="IA246" s="5">
        <v>7.9362463609677497E-2</v>
      </c>
      <c r="IB246" s="5">
        <v>-0.113370056700154</v>
      </c>
      <c r="IC246" s="5">
        <v>7.0456233832363796E-2</v>
      </c>
      <c r="ID246" s="5">
        <v>0.72800144196010996</v>
      </c>
      <c r="IE246" s="5">
        <v>-0.37563550316986999</v>
      </c>
      <c r="IF246" s="5">
        <v>0.57070951832771799</v>
      </c>
      <c r="IG246" s="5">
        <v>-0.16574343166827599</v>
      </c>
      <c r="IH246" s="5">
        <v>0.27551497048132201</v>
      </c>
      <c r="II246" s="5">
        <v>3.30238396775729E-3</v>
      </c>
      <c r="IJ246" s="5">
        <v>0.14424733140750801</v>
      </c>
      <c r="IK246" s="5">
        <v>2.6564255295913702E-2</v>
      </c>
      <c r="IL246" s="5">
        <v>1</v>
      </c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</row>
    <row r="247" spans="1:389" x14ac:dyDescent="0.45">
      <c r="A247" s="4" t="str">
        <f ca="1">"MWI / beta2dist in "&amp;CELL("address",'damages-1990'!$K$124)</f>
        <v>MWI / beta2dist in '[BHM betas v3pd.xlsx]damages-1990'!$K$124</v>
      </c>
      <c r="B247" s="6">
        <v>-0.21057187799639801</v>
      </c>
      <c r="C247" s="5">
        <v>0.32169390676244303</v>
      </c>
      <c r="D247" s="5">
        <v>-0.27468733246111698</v>
      </c>
      <c r="E247" s="5">
        <v>0.37617134552418502</v>
      </c>
      <c r="F247" s="5">
        <v>-0.114021245274338</v>
      </c>
      <c r="G247" s="5">
        <v>0.16899251557192599</v>
      </c>
      <c r="H247" s="5">
        <v>-6.0161433460869398E-2</v>
      </c>
      <c r="I247" s="5">
        <v>-2.0595084107555499E-2</v>
      </c>
      <c r="J247" s="5">
        <v>-0.42396774596661202</v>
      </c>
      <c r="K247" s="5">
        <v>0.60953487393686701</v>
      </c>
      <c r="L247" s="5">
        <v>-0.21882148549700101</v>
      </c>
      <c r="M247" s="5">
        <v>0.31218880039424202</v>
      </c>
      <c r="N247" s="5">
        <v>0.11516466424484401</v>
      </c>
      <c r="O247" s="5">
        <v>-0.21333755936692</v>
      </c>
      <c r="P247" s="5">
        <v>-0.135706236489538</v>
      </c>
      <c r="Q247" s="5">
        <v>0.18748777418492499</v>
      </c>
      <c r="R247" s="5">
        <v>-0.221062193963767</v>
      </c>
      <c r="S247" s="5">
        <v>0.36976067778433203</v>
      </c>
      <c r="T247" s="5">
        <v>-0.146464171736649</v>
      </c>
      <c r="U247" s="5">
        <v>0.120445522288067</v>
      </c>
      <c r="V247" s="5">
        <v>-5.0440186593232697E-2</v>
      </c>
      <c r="W247" s="5">
        <v>3.1442585496034403E-2</v>
      </c>
      <c r="X247" s="5">
        <v>-0.33721441814107</v>
      </c>
      <c r="Y247" s="5">
        <v>0.46983318298135601</v>
      </c>
      <c r="Z247" s="5">
        <v>-0.100392030445449</v>
      </c>
      <c r="AA247" s="5">
        <v>0.10144964250317599</v>
      </c>
      <c r="AB247" s="5">
        <v>-0.32863945765365199</v>
      </c>
      <c r="AC247" s="5">
        <v>0.386388020644096</v>
      </c>
      <c r="AD247" s="5">
        <v>-0.39473812543287601</v>
      </c>
      <c r="AE247" s="5">
        <v>0.41370195731826598</v>
      </c>
      <c r="AF247" s="5">
        <v>0.119428368486331</v>
      </c>
      <c r="AG247" s="5">
        <v>-1.8155327194229399E-2</v>
      </c>
      <c r="AH247" s="5">
        <v>-0.123590909386048</v>
      </c>
      <c r="AI247" s="5">
        <v>0.15314165914418701</v>
      </c>
      <c r="AJ247" s="5">
        <v>-0.40251701144159602</v>
      </c>
      <c r="AK247" s="5">
        <v>0.59744171286097503</v>
      </c>
      <c r="AL247" s="5">
        <v>5.0266056917679998E-2</v>
      </c>
      <c r="AM247" s="5">
        <v>-4.2609694168249399E-3</v>
      </c>
      <c r="AN247" s="5">
        <v>-0.155738694879823</v>
      </c>
      <c r="AO247" s="5">
        <v>0.15902748280465501</v>
      </c>
      <c r="AP247" s="5">
        <v>-0.20911609885715399</v>
      </c>
      <c r="AQ247" s="5">
        <v>0.20140698228965401</v>
      </c>
      <c r="AR247" s="5">
        <v>8.2197559931021999E-2</v>
      </c>
      <c r="AS247" s="5">
        <v>-7.29672857175057E-2</v>
      </c>
      <c r="AT247" s="5">
        <v>0.216701877376029</v>
      </c>
      <c r="AU247" s="5">
        <v>-0.23096012084346501</v>
      </c>
      <c r="AV247" s="5">
        <v>-2.2640745725760799E-2</v>
      </c>
      <c r="AW247" s="5">
        <v>8.3065778850547098E-2</v>
      </c>
      <c r="AX247" s="5">
        <v>-0.13206036396262799</v>
      </c>
      <c r="AY247" s="5">
        <v>0.234790964853097</v>
      </c>
      <c r="AZ247" s="5">
        <v>-0.19021870919678399</v>
      </c>
      <c r="BA247" s="5">
        <v>0.224208747037977</v>
      </c>
      <c r="BB247" s="5">
        <v>-0.29613533880263698</v>
      </c>
      <c r="BC247" s="5">
        <v>0.423128563668693</v>
      </c>
      <c r="BD247" s="5">
        <v>-0.119027150434714</v>
      </c>
      <c r="BE247" s="5">
        <v>0.18336731556629901</v>
      </c>
      <c r="BF247" s="5">
        <v>-6.59649220623819E-2</v>
      </c>
      <c r="BG247" s="5">
        <v>0.13154279133260999</v>
      </c>
      <c r="BH247" s="5">
        <v>-0.37109507160833999</v>
      </c>
      <c r="BI247" s="5">
        <v>0.466869910386012</v>
      </c>
      <c r="BJ247" s="5">
        <v>1.6116975631355199E-2</v>
      </c>
      <c r="BK247" s="5">
        <v>-0.23509855949254299</v>
      </c>
      <c r="BL247" s="5">
        <v>-0.15423506399433601</v>
      </c>
      <c r="BM247" s="5">
        <v>9.9513088021093696E-2</v>
      </c>
      <c r="BN247" s="5">
        <v>7.7754763654391906E-2</v>
      </c>
      <c r="BO247" s="5">
        <v>-0.16840890426507399</v>
      </c>
      <c r="BP247" s="5">
        <v>-0.146588117192158</v>
      </c>
      <c r="BQ247" s="5">
        <v>0.125176319837875</v>
      </c>
      <c r="BR247" s="5">
        <v>-0.40507046407660202</v>
      </c>
      <c r="BS247" s="5">
        <v>0.46759257099127499</v>
      </c>
      <c r="BT247" s="5">
        <v>-0.27807420837688801</v>
      </c>
      <c r="BU247" s="5">
        <v>0.42051624794802001</v>
      </c>
      <c r="BV247" s="5">
        <v>-0.44522929353304103</v>
      </c>
      <c r="BW247" s="5">
        <v>0.56291986070480704</v>
      </c>
      <c r="BX247" s="5">
        <v>-0.38351331450458098</v>
      </c>
      <c r="BY247" s="5">
        <v>0.47406147222721601</v>
      </c>
      <c r="BZ247" s="5">
        <v>-0.32286335772709901</v>
      </c>
      <c r="CA247" s="5">
        <v>0.410545210814455</v>
      </c>
      <c r="CB247" s="5">
        <v>-4.4660907204565503E-2</v>
      </c>
      <c r="CC247" s="5">
        <v>0.120976862140837</v>
      </c>
      <c r="CD247" s="5">
        <v>-0.30583309840491202</v>
      </c>
      <c r="CE247" s="5">
        <v>0.30772204671945003</v>
      </c>
      <c r="CF247" s="5">
        <v>-0.106405173275175</v>
      </c>
      <c r="CG247" s="5">
        <v>0.111011244626858</v>
      </c>
      <c r="CH247" s="5">
        <v>0.16378925404438799</v>
      </c>
      <c r="CI247" s="5">
        <v>-0.143761160057266</v>
      </c>
      <c r="CJ247" s="5">
        <v>4.5104348797207497E-2</v>
      </c>
      <c r="CK247" s="5">
        <v>0.105104191208717</v>
      </c>
      <c r="CL247" s="5">
        <v>-0.149444386550561</v>
      </c>
      <c r="CM247" s="5">
        <v>0.139344996540223</v>
      </c>
      <c r="CN247" s="5">
        <v>-0.14044229445387801</v>
      </c>
      <c r="CO247" s="5">
        <v>0.13848355099476101</v>
      </c>
      <c r="CP247" s="5">
        <v>-0.50261072184949596</v>
      </c>
      <c r="CQ247" s="5">
        <v>0.48493435939852397</v>
      </c>
      <c r="CR247" s="5">
        <v>-0.104744636201484</v>
      </c>
      <c r="CS247" s="5">
        <v>0.13101531604425001</v>
      </c>
      <c r="CT247" s="5">
        <v>-0.17410455534848901</v>
      </c>
      <c r="CU247" s="5">
        <v>0.17634878815559599</v>
      </c>
      <c r="CV247" s="5">
        <v>-0.32409881516000399</v>
      </c>
      <c r="CW247" s="5">
        <v>0.37028263904069902</v>
      </c>
      <c r="CX247" s="5">
        <v>-0.122890912279254</v>
      </c>
      <c r="CY247" s="5">
        <v>0.22680533369937</v>
      </c>
      <c r="CZ247" s="5">
        <v>-0.26712497598838902</v>
      </c>
      <c r="DA247" s="5">
        <v>0.34147546123338102</v>
      </c>
      <c r="DB247" s="5">
        <v>2.6063685665817401E-2</v>
      </c>
      <c r="DC247" s="5">
        <v>3.9237235294951801E-2</v>
      </c>
      <c r="DD247" s="5">
        <v>-0.41524559432559199</v>
      </c>
      <c r="DE247" s="5">
        <v>0.43635968232181899</v>
      </c>
      <c r="DF247" s="5">
        <v>-0.25172130357888001</v>
      </c>
      <c r="DG247" s="5">
        <v>0.34648667229704899</v>
      </c>
      <c r="DH247" s="5">
        <v>-0.14047718478913901</v>
      </c>
      <c r="DI247" s="5">
        <v>0.27391724752962299</v>
      </c>
      <c r="DJ247" s="5">
        <v>-0.17159956052632899</v>
      </c>
      <c r="DK247" s="5">
        <v>0.16863441272500301</v>
      </c>
      <c r="DL247" s="5">
        <v>-0.39198492090788001</v>
      </c>
      <c r="DM247" s="5">
        <v>0.47366434841940303</v>
      </c>
      <c r="DN247" s="5">
        <v>-0.16083155147909201</v>
      </c>
      <c r="DO247" s="5">
        <v>0.148172800432397</v>
      </c>
      <c r="DP247" s="5">
        <v>2.7438500744989401E-2</v>
      </c>
      <c r="DQ247" s="5">
        <v>5.2638916750684002E-2</v>
      </c>
      <c r="DR247" s="5">
        <v>-9.85757573974822E-2</v>
      </c>
      <c r="DS247" s="5">
        <v>0.130795693419894</v>
      </c>
      <c r="DT247" s="5">
        <v>-7.8040452440237801E-2</v>
      </c>
      <c r="DU247" s="5">
        <v>0.119545682035556</v>
      </c>
      <c r="DV247" s="5">
        <v>-0.39326859569416101</v>
      </c>
      <c r="DW247" s="5">
        <v>0.48325193884279999</v>
      </c>
      <c r="DX247" s="5">
        <v>-0.13286696131838399</v>
      </c>
      <c r="DY247" s="5">
        <v>0.121650986737915</v>
      </c>
      <c r="DZ247" s="5">
        <v>5.1125880733747998E-2</v>
      </c>
      <c r="EA247" s="5">
        <v>-0.11836959560352001</v>
      </c>
      <c r="EB247" s="5">
        <v>-0.38487985841850703</v>
      </c>
      <c r="EC247" s="5">
        <v>0.44761600446809602</v>
      </c>
      <c r="ED247" s="5">
        <v>-0.409106510897076</v>
      </c>
      <c r="EE247" s="5">
        <v>0.47024791190897097</v>
      </c>
      <c r="EF247" s="5">
        <v>-0.13473729098738299</v>
      </c>
      <c r="EG247" s="5">
        <v>0.16510153680289699</v>
      </c>
      <c r="EH247" s="5">
        <v>-0.35217662515496501</v>
      </c>
      <c r="EI247" s="5">
        <v>0.38857677940506202</v>
      </c>
      <c r="EJ247" s="5">
        <v>-0.42066641491068502</v>
      </c>
      <c r="EK247" s="5">
        <v>0.44580516775471202</v>
      </c>
      <c r="EL247" s="5">
        <v>-0.281603523290198</v>
      </c>
      <c r="EM247" s="5">
        <v>0.39333875831169601</v>
      </c>
      <c r="EN247" s="5">
        <v>-2.4993666888795101E-2</v>
      </c>
      <c r="EO247" s="5">
        <v>9.0751749360881095E-2</v>
      </c>
      <c r="EP247" s="5">
        <v>-0.216370928803827</v>
      </c>
      <c r="EQ247" s="5">
        <v>0.24738562313401299</v>
      </c>
      <c r="ER247" s="5">
        <v>1.5537940018468701E-2</v>
      </c>
      <c r="ES247" s="5">
        <v>2.8021709567056199E-2</v>
      </c>
      <c r="ET247" s="5">
        <v>2.3327230875595E-2</v>
      </c>
      <c r="EU247" s="5">
        <v>7.9814237004264904E-2</v>
      </c>
      <c r="EV247" s="5">
        <v>7.2013820261523798E-3</v>
      </c>
      <c r="EW247" s="5">
        <v>0.117033977040465</v>
      </c>
      <c r="EX247" s="5">
        <v>0.17403833799663301</v>
      </c>
      <c r="EY247" s="5">
        <v>-7.6278607916349397E-2</v>
      </c>
      <c r="EZ247" s="5">
        <v>-1.3889492059267599E-2</v>
      </c>
      <c r="FA247" s="5">
        <v>8.8047851395785401E-2</v>
      </c>
      <c r="FB247" s="5">
        <v>-0.11535381360890599</v>
      </c>
      <c r="FC247" s="5">
        <v>0.14653827595692701</v>
      </c>
      <c r="FD247" s="5">
        <v>-0.22489875670614901</v>
      </c>
      <c r="FE247" s="5">
        <v>0.29296358069089401</v>
      </c>
      <c r="FF247" s="5">
        <v>-0.138975972353653</v>
      </c>
      <c r="FG247" s="5">
        <v>0.16684710361448299</v>
      </c>
      <c r="FH247" s="5">
        <v>2.1848480826374399E-2</v>
      </c>
      <c r="FI247" s="5">
        <v>-7.9431860653437405E-3</v>
      </c>
      <c r="FJ247" s="5">
        <v>-0.139193609782472</v>
      </c>
      <c r="FK247" s="5">
        <v>0.24038053518034999</v>
      </c>
      <c r="FL247" s="5">
        <v>-5.7797804385052103E-2</v>
      </c>
      <c r="FM247" s="5">
        <v>2.7752701346315301E-2</v>
      </c>
      <c r="FN247" s="5">
        <v>-0.35466037036051801</v>
      </c>
      <c r="FO247" s="5">
        <v>0.49151111858233498</v>
      </c>
      <c r="FP247" s="5">
        <v>-0.26275216347948699</v>
      </c>
      <c r="FQ247" s="5">
        <v>0.37134924398235603</v>
      </c>
      <c r="FR247" s="5">
        <v>0.13237340574315501</v>
      </c>
      <c r="FS247" s="5">
        <v>-0.271551930493516</v>
      </c>
      <c r="FT247" s="5">
        <v>-4.2503207050800101E-2</v>
      </c>
      <c r="FU247" s="5">
        <v>0.15098193073338201</v>
      </c>
      <c r="FV247" s="5">
        <v>-8.2547812814122504E-2</v>
      </c>
      <c r="FW247" s="5">
        <v>0.14719608794987399</v>
      </c>
      <c r="FX247" s="5">
        <v>-0.122208649818733</v>
      </c>
      <c r="FY247" s="5">
        <v>0.17356302582959199</v>
      </c>
      <c r="FZ247" s="5">
        <v>-0.14101141299632899</v>
      </c>
      <c r="GA247" s="5">
        <v>0.24744665962255499</v>
      </c>
      <c r="GB247" s="5">
        <v>-0.13280835648506401</v>
      </c>
      <c r="GC247" s="5">
        <v>0.19057705735217301</v>
      </c>
      <c r="GD247" s="5">
        <v>0.115647581026235</v>
      </c>
      <c r="GE247" s="5">
        <v>-0.16880060053283799</v>
      </c>
      <c r="GF247" s="5">
        <v>-0.14519043849756899</v>
      </c>
      <c r="GG247" s="5">
        <v>0.31030630421593403</v>
      </c>
      <c r="GH247" s="5">
        <v>0.216202866274884</v>
      </c>
      <c r="GI247" s="5">
        <v>-0.37149201059166997</v>
      </c>
      <c r="GJ247" s="5">
        <v>-8.1640701051967808E-3</v>
      </c>
      <c r="GK247" s="5">
        <v>0.124887310881535</v>
      </c>
      <c r="GL247" s="5">
        <v>-0.24022317974139201</v>
      </c>
      <c r="GM247" s="5">
        <v>0.29285633303541803</v>
      </c>
      <c r="GN247" s="5">
        <v>-0.156020775436785</v>
      </c>
      <c r="GO247" s="5">
        <v>0.27155424495015901</v>
      </c>
      <c r="GP247" s="5">
        <v>-0.346901083377681</v>
      </c>
      <c r="GQ247" s="5">
        <v>0.48398086667618301</v>
      </c>
      <c r="GR247" s="5">
        <v>-8.9798820877349306E-2</v>
      </c>
      <c r="GS247" s="5">
        <v>0.21737897925539801</v>
      </c>
      <c r="GT247" s="5">
        <v>-6.85214020453013E-2</v>
      </c>
      <c r="GU247" s="5">
        <v>0.11103029145833999</v>
      </c>
      <c r="GV247" s="5">
        <v>-0.33317167674167197</v>
      </c>
      <c r="GW247" s="5">
        <v>0.43008727414138498</v>
      </c>
      <c r="GX247" s="5">
        <v>2.2449941405010099E-2</v>
      </c>
      <c r="GY247" s="5">
        <v>4.8206070152253602E-2</v>
      </c>
      <c r="GZ247" s="5">
        <v>-0.152732932015165</v>
      </c>
      <c r="HA247" s="5">
        <v>0.10077369478099001</v>
      </c>
      <c r="HB247" s="5">
        <v>-0.111292488136816</v>
      </c>
      <c r="HC247" s="5">
        <v>0.22894660381269</v>
      </c>
      <c r="HD247" s="5">
        <v>-1.8103597581806099E-2</v>
      </c>
      <c r="HE247" s="5">
        <v>-1.1611208329050601E-2</v>
      </c>
      <c r="HF247" s="5">
        <v>-0.19136921904968801</v>
      </c>
      <c r="HG247" s="5">
        <v>0.188706185870851</v>
      </c>
      <c r="HH247" s="5">
        <v>-0.128220189396787</v>
      </c>
      <c r="HI247" s="5">
        <v>0.125970838268089</v>
      </c>
      <c r="HJ247" s="5">
        <v>-0.18535593667769901</v>
      </c>
      <c r="HK247" s="5">
        <v>0.183358848881676</v>
      </c>
      <c r="HL247" s="5">
        <v>-0.23837332951724699</v>
      </c>
      <c r="HM247" s="5">
        <v>0.37250261431460802</v>
      </c>
      <c r="HN247" s="5">
        <v>-0.120241602157066</v>
      </c>
      <c r="HO247" s="5">
        <v>0.12918772966330599</v>
      </c>
      <c r="HP247" s="5">
        <v>-0.177091366684827</v>
      </c>
      <c r="HQ247" s="5">
        <v>0.34984662670460198</v>
      </c>
      <c r="HR247" s="5">
        <v>-5.79103026345145E-2</v>
      </c>
      <c r="HS247" s="5">
        <v>0.15536979674179399</v>
      </c>
      <c r="HT247" s="5">
        <v>-0.14407367201593799</v>
      </c>
      <c r="HU247" s="5">
        <v>0.17888800064018401</v>
      </c>
      <c r="HV247" s="5">
        <v>-0.270222139776987</v>
      </c>
      <c r="HW247" s="5">
        <v>0.32205485035360898</v>
      </c>
      <c r="HX247" s="5">
        <v>-9.0946687709397303E-2</v>
      </c>
      <c r="HY247" s="5">
        <v>0.230964149487277</v>
      </c>
      <c r="HZ247" s="5">
        <v>-0.16617167617843601</v>
      </c>
      <c r="IA247" s="5">
        <v>0.15098159667289801</v>
      </c>
      <c r="IB247" s="5">
        <v>-0.11586020633921799</v>
      </c>
      <c r="IC247" s="5">
        <v>5.5558280660638303E-2</v>
      </c>
      <c r="ID247" s="5">
        <v>-0.371292554592558</v>
      </c>
      <c r="IE247" s="5">
        <v>0.58849049325792502</v>
      </c>
      <c r="IF247" s="5">
        <v>-0.281844024541619</v>
      </c>
      <c r="IG247" s="5">
        <v>0.36624511759582501</v>
      </c>
      <c r="IH247" s="5">
        <v>-0.14571192816765</v>
      </c>
      <c r="II247" s="5">
        <v>0.17308734564965</v>
      </c>
      <c r="IJ247" s="5">
        <v>0.13945367925192301</v>
      </c>
      <c r="IK247" s="5">
        <v>-0.10978687176768601</v>
      </c>
      <c r="IL247" s="5">
        <v>-0.71119175316337702</v>
      </c>
      <c r="IM247" s="5">
        <v>1</v>
      </c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</row>
    <row r="248" spans="1:389" x14ac:dyDescent="0.45">
      <c r="A248" s="4" t="str">
        <f ca="1">"MYS / beta1dist in "&amp;CELL("address",'damages-1990'!$J$125)</f>
        <v>MYS / beta1dist in '[BHM betas v3pd.xlsx]damages-1990'!$J$125</v>
      </c>
      <c r="B248" s="6">
        <v>0.229957070249111</v>
      </c>
      <c r="C248" s="5">
        <v>0.22826626862136301</v>
      </c>
      <c r="D248" s="5">
        <v>0.54939074005655897</v>
      </c>
      <c r="E248" s="5">
        <v>-6.8569578238092593E-2</v>
      </c>
      <c r="F248" s="5">
        <v>0.16199101330900301</v>
      </c>
      <c r="G248" s="5">
        <v>0.13201039167538101</v>
      </c>
      <c r="H248" s="5">
        <v>-0.28730139080127398</v>
      </c>
      <c r="I248" s="5">
        <v>0.24310024041352199</v>
      </c>
      <c r="J248" s="5">
        <v>0.57230344478016004</v>
      </c>
      <c r="K248" s="5">
        <v>-0.112836268239506</v>
      </c>
      <c r="L248" s="5">
        <v>0.44924535594655202</v>
      </c>
      <c r="M248" s="5">
        <v>-2.48284910780046E-2</v>
      </c>
      <c r="N248" s="5">
        <v>-8.7329997215222596E-2</v>
      </c>
      <c r="O248" s="5">
        <v>9.2993773851529002E-2</v>
      </c>
      <c r="P248" s="5">
        <v>0.21212144564393501</v>
      </c>
      <c r="Q248" s="5">
        <v>9.9925656647571106E-3</v>
      </c>
      <c r="R248" s="5">
        <v>0.58793467692248902</v>
      </c>
      <c r="S248" s="5">
        <v>-0.119544534125434</v>
      </c>
      <c r="T248" s="5">
        <v>-0.14603556590684399</v>
      </c>
      <c r="U248" s="5">
        <v>0.14554859001307399</v>
      </c>
      <c r="V248" s="5">
        <v>0.235508238128666</v>
      </c>
      <c r="W248" s="5">
        <v>0.21597213092560899</v>
      </c>
      <c r="X248" s="5">
        <v>0.46713984849013401</v>
      </c>
      <c r="Y248" s="5">
        <v>-2.4554977136527999E-4</v>
      </c>
      <c r="Z248" s="5">
        <v>-5.7948416368599397E-2</v>
      </c>
      <c r="AA248" s="5">
        <v>0.17358855348201099</v>
      </c>
      <c r="AB248" s="5">
        <v>0.55873798413837505</v>
      </c>
      <c r="AC248" s="5">
        <v>-0.21200264634232299</v>
      </c>
      <c r="AD248" s="5">
        <v>0.57439822275803698</v>
      </c>
      <c r="AE248" s="5">
        <v>-0.19301872817235899</v>
      </c>
      <c r="AF248" s="5">
        <v>0.46236652621723801</v>
      </c>
      <c r="AG248" s="5">
        <v>-0.10726234226338301</v>
      </c>
      <c r="AH248" s="5">
        <v>8.1937712190154097E-2</v>
      </c>
      <c r="AI248" s="5">
        <v>0.15066606230155499</v>
      </c>
      <c r="AJ248" s="5">
        <v>0.53685546865042899</v>
      </c>
      <c r="AK248" s="5">
        <v>-9.4908195063671805E-2</v>
      </c>
      <c r="AL248" s="5">
        <v>0.45103755306650001</v>
      </c>
      <c r="AM248" s="5">
        <v>-0.21282364783022201</v>
      </c>
      <c r="AN248" s="5">
        <v>-6.0680944958249702E-2</v>
      </c>
      <c r="AO248" s="5">
        <v>0.201576597676937</v>
      </c>
      <c r="AP248" s="5">
        <v>-0.134616435273752</v>
      </c>
      <c r="AQ248" s="5">
        <v>0.141239155871629</v>
      </c>
      <c r="AR248" s="5">
        <v>0.691813854958783</v>
      </c>
      <c r="AS248" s="5">
        <v>-0.37446136670088498</v>
      </c>
      <c r="AT248" s="5">
        <v>0.334904205945391</v>
      </c>
      <c r="AU248" s="5">
        <v>-5.3473007383773398E-2</v>
      </c>
      <c r="AV248" s="5">
        <v>0.65323654252857899</v>
      </c>
      <c r="AW248" s="5">
        <v>-0.218701421281114</v>
      </c>
      <c r="AX248" s="5">
        <v>0.72802726049605604</v>
      </c>
      <c r="AY248" s="5">
        <v>-0.31199532718992201</v>
      </c>
      <c r="AZ248" s="5">
        <v>0.34924404398998699</v>
      </c>
      <c r="BA248" s="5">
        <v>-0.12349519099418101</v>
      </c>
      <c r="BB248" s="5">
        <v>0.80137856790149797</v>
      </c>
      <c r="BC248" s="5">
        <v>-0.37622500103461898</v>
      </c>
      <c r="BD248" s="5">
        <v>8.3734887640164402E-2</v>
      </c>
      <c r="BE248" s="5">
        <v>0.32774376909596598</v>
      </c>
      <c r="BF248" s="5">
        <v>0.50561924862993801</v>
      </c>
      <c r="BG248" s="5">
        <v>-0.111261133339439</v>
      </c>
      <c r="BH248" s="5">
        <v>0.71684100923938798</v>
      </c>
      <c r="BI248" s="5">
        <v>-0.28486071062441798</v>
      </c>
      <c r="BJ248" s="5">
        <v>-0.39075268665920099</v>
      </c>
      <c r="BK248" s="5">
        <v>0.25319808594619098</v>
      </c>
      <c r="BL248" s="5">
        <v>-0.13495323739277101</v>
      </c>
      <c r="BM248" s="5">
        <v>9.5101520897900402E-2</v>
      </c>
      <c r="BN248" s="5">
        <v>-0.201037281855281</v>
      </c>
      <c r="BO248" s="5">
        <v>0.32597003489505999</v>
      </c>
      <c r="BP248" s="5">
        <v>-0.22006750210921899</v>
      </c>
      <c r="BQ248" s="5">
        <v>0.34754982523571598</v>
      </c>
      <c r="BR248" s="5">
        <v>0.53569965086626103</v>
      </c>
      <c r="BS248" s="5">
        <v>-0.182512665474967</v>
      </c>
      <c r="BT248" s="5">
        <v>0.75861057354480199</v>
      </c>
      <c r="BU248" s="5">
        <v>-0.33872967635203399</v>
      </c>
      <c r="BV248" s="5">
        <v>0.63408973745597996</v>
      </c>
      <c r="BW248" s="5">
        <v>-0.181357161769787</v>
      </c>
      <c r="BX248" s="5">
        <v>0.62573757549048803</v>
      </c>
      <c r="BY248" s="5">
        <v>-0.24598195306609399</v>
      </c>
      <c r="BZ248" s="5">
        <v>0.65805178702129397</v>
      </c>
      <c r="CA248" s="5">
        <v>-0.246404519101004</v>
      </c>
      <c r="CB248" s="5">
        <v>0.44879507832764698</v>
      </c>
      <c r="CC248" s="5">
        <v>-0.18475381973060701</v>
      </c>
      <c r="CD248" s="5">
        <v>0.24481390296755901</v>
      </c>
      <c r="CE248" s="5">
        <v>8.0225585969525295E-2</v>
      </c>
      <c r="CF248" s="5">
        <v>0.53628998953669205</v>
      </c>
      <c r="CG248" s="5">
        <v>-0.245567529497531</v>
      </c>
      <c r="CH248" s="5">
        <v>0.43828000958761498</v>
      </c>
      <c r="CI248" s="5">
        <v>-0.22981160594171501</v>
      </c>
      <c r="CJ248" s="5">
        <v>0.32788188464803503</v>
      </c>
      <c r="CK248" s="5">
        <v>-6.4544734580333302E-2</v>
      </c>
      <c r="CL248" s="5">
        <v>-9.2957989520815895E-2</v>
      </c>
      <c r="CM248" s="5">
        <v>0.14375858266167199</v>
      </c>
      <c r="CN248" s="5">
        <v>-8.4970624426689706E-2</v>
      </c>
      <c r="CO248" s="5">
        <v>0.16733411044128599</v>
      </c>
      <c r="CP248" s="5">
        <v>0.44707492604139198</v>
      </c>
      <c r="CQ248" s="5">
        <v>-0.10326495362801499</v>
      </c>
      <c r="CR248" s="5">
        <v>0.26230234697777599</v>
      </c>
      <c r="CS248" s="5">
        <v>-2.2709507996240798E-2</v>
      </c>
      <c r="CT248" s="5">
        <v>-0.12794481272449301</v>
      </c>
      <c r="CU248" s="5">
        <v>0.14235971129685199</v>
      </c>
      <c r="CV248" s="5">
        <v>0.389306906569717</v>
      </c>
      <c r="CW248" s="5">
        <v>-0.108860993556518</v>
      </c>
      <c r="CX248" s="5">
        <v>0.57403190615307098</v>
      </c>
      <c r="CY248" s="5">
        <v>-0.131140927409826</v>
      </c>
      <c r="CZ248" s="5">
        <v>0.59295178976518703</v>
      </c>
      <c r="DA248" s="5">
        <v>-0.21068659290172101</v>
      </c>
      <c r="DB248" s="5">
        <v>0.38340464868259699</v>
      </c>
      <c r="DC248" s="5">
        <v>0.150065296479234</v>
      </c>
      <c r="DD248" s="5">
        <v>0.45150043465313899</v>
      </c>
      <c r="DE248" s="5">
        <v>-7.3888359865242295E-2</v>
      </c>
      <c r="DF248" s="5">
        <v>0.47677854625249899</v>
      </c>
      <c r="DG248" s="5">
        <v>-8.5783924528217204E-2</v>
      </c>
      <c r="DH248" s="5">
        <v>0.283499477898703</v>
      </c>
      <c r="DI248" s="5">
        <v>9.0704165468142098E-2</v>
      </c>
      <c r="DJ248" s="5">
        <v>-0.191112404939627</v>
      </c>
      <c r="DK248" s="5">
        <v>0.160490458168149</v>
      </c>
      <c r="DL248" s="5">
        <v>0.48909505211696902</v>
      </c>
      <c r="DM248" s="5">
        <v>-4.5825337273182498E-2</v>
      </c>
      <c r="DN248" s="5">
        <v>-0.25204792023098299</v>
      </c>
      <c r="DO248" s="5">
        <v>0.15148179158928299</v>
      </c>
      <c r="DP248" s="5">
        <v>0.43001721730704801</v>
      </c>
      <c r="DQ248" s="5">
        <v>-0.114037682638003</v>
      </c>
      <c r="DR248" s="5">
        <v>3.2513016387128897E-2</v>
      </c>
      <c r="DS248" s="5">
        <v>0.196045015584737</v>
      </c>
      <c r="DT248" s="5">
        <v>0.39162411699992999</v>
      </c>
      <c r="DU248" s="5">
        <v>-0.16762775794967899</v>
      </c>
      <c r="DV248" s="5">
        <v>0.45733015874066302</v>
      </c>
      <c r="DW248" s="5">
        <v>-0.1298080079468</v>
      </c>
      <c r="DX248" s="5">
        <v>-0.20120712687659401</v>
      </c>
      <c r="DY248" s="5">
        <v>0.24955259393217599</v>
      </c>
      <c r="DZ248" s="5">
        <v>-4.78035090031965E-2</v>
      </c>
      <c r="EA248" s="5">
        <v>7.7387859462081002E-2</v>
      </c>
      <c r="EB248" s="5">
        <v>0.62931926014303996</v>
      </c>
      <c r="EC248" s="5">
        <v>-0.23295416759173099</v>
      </c>
      <c r="ED248" s="5">
        <v>0.559651672099169</v>
      </c>
      <c r="EE248" s="5">
        <v>-0.13366639736629701</v>
      </c>
      <c r="EF248" s="5">
        <v>0.229274259929657</v>
      </c>
      <c r="EG248" s="5">
        <v>-5.8294269877956599E-3</v>
      </c>
      <c r="EH248" s="5">
        <v>0.55054493952828798</v>
      </c>
      <c r="EI248" s="5">
        <v>-8.7536912835727607E-2</v>
      </c>
      <c r="EJ248" s="5">
        <v>0.51530220075953403</v>
      </c>
      <c r="EK248" s="5">
        <v>-4.3499520837115599E-2</v>
      </c>
      <c r="EL248" s="5">
        <v>0.72309044226600805</v>
      </c>
      <c r="EM248" s="5">
        <v>-0.36468698091794599</v>
      </c>
      <c r="EN248" s="5">
        <v>0.36007251096271198</v>
      </c>
      <c r="EO248" s="5">
        <v>-6.3320649548718994E-2</v>
      </c>
      <c r="EP248" s="5">
        <v>0.38411195197604397</v>
      </c>
      <c r="EQ248" s="5">
        <v>-0.13034185764658701</v>
      </c>
      <c r="ER248" s="5">
        <v>0.69647379212493399</v>
      </c>
      <c r="ES248" s="5">
        <v>-0.31910307813403999</v>
      </c>
      <c r="ET248" s="5">
        <v>0.515405896983406</v>
      </c>
      <c r="EU248" s="5">
        <v>-0.19234037351043101</v>
      </c>
      <c r="EV248" s="5">
        <v>0.55256895815533602</v>
      </c>
      <c r="EW248" s="5">
        <v>-0.216083449743699</v>
      </c>
      <c r="EX248" s="5">
        <v>0.42238500060407902</v>
      </c>
      <c r="EY248" s="5">
        <v>-0.13322407002588199</v>
      </c>
      <c r="EZ248" s="5">
        <v>0.68047274218368003</v>
      </c>
      <c r="FA248" s="5">
        <v>-0.30151177539088703</v>
      </c>
      <c r="FB248" s="5">
        <v>9.1616442222497499E-2</v>
      </c>
      <c r="FC248" s="5">
        <v>0.14972207136233701</v>
      </c>
      <c r="FD248" s="5">
        <v>0.421860268237439</v>
      </c>
      <c r="FE248" s="5">
        <v>-0.133154810790857</v>
      </c>
      <c r="FF248" s="5">
        <v>3.8991605066535498E-2</v>
      </c>
      <c r="FG248" s="5">
        <v>0.14614650406377</v>
      </c>
      <c r="FH248" s="5">
        <v>0.78746985984369899</v>
      </c>
      <c r="FI248" s="5">
        <v>-0.57765778167902904</v>
      </c>
      <c r="FJ248" s="5">
        <v>0.40961376288995799</v>
      </c>
      <c r="FK248" s="5">
        <v>0.100247268857367</v>
      </c>
      <c r="FL248" s="5">
        <v>-0.19088220774603201</v>
      </c>
      <c r="FM248" s="5">
        <v>0.25708680107939602</v>
      </c>
      <c r="FN248" s="5">
        <v>0.49076020879875099</v>
      </c>
      <c r="FO248" s="5">
        <v>-3.5813547875966703E-2</v>
      </c>
      <c r="FP248" s="5">
        <v>0.58659196798272195</v>
      </c>
      <c r="FQ248" s="5">
        <v>-0.16175118564761101</v>
      </c>
      <c r="FR248" s="5">
        <v>-0.154491333052551</v>
      </c>
      <c r="FS248" s="5">
        <v>6.9209493225614602E-3</v>
      </c>
      <c r="FT248" s="5">
        <v>0.44348491295658099</v>
      </c>
      <c r="FU248" s="5">
        <v>2.7465188684776799E-2</v>
      </c>
      <c r="FV248" s="5">
        <v>0.22448071784658699</v>
      </c>
      <c r="FW248" s="5">
        <v>9.2166106368455694E-2</v>
      </c>
      <c r="FX248" s="5">
        <v>0.45290662777531998</v>
      </c>
      <c r="FY248" s="5">
        <v>-0.156812324490546</v>
      </c>
      <c r="FZ248" s="5">
        <v>0.50393005227276799</v>
      </c>
      <c r="GA248" s="5">
        <v>6.6016691684159105E-4</v>
      </c>
      <c r="GB248" s="5">
        <v>5.8348283212731097E-2</v>
      </c>
      <c r="GC248" s="5">
        <v>0.244687816067163</v>
      </c>
      <c r="GD248" s="5">
        <v>-0.35110593290509701</v>
      </c>
      <c r="GE248" s="5">
        <v>0.39572439328076803</v>
      </c>
      <c r="GF248" s="5">
        <v>0.42316339131435599</v>
      </c>
      <c r="GG248" s="5">
        <v>5.2137306606054997E-3</v>
      </c>
      <c r="GH248" s="5">
        <v>-0.3373626919246</v>
      </c>
      <c r="GI248" s="5">
        <v>0.204285306638188</v>
      </c>
      <c r="GJ248" s="5">
        <v>0.66189017923427096</v>
      </c>
      <c r="GK248" s="5">
        <v>-0.35850532790151501</v>
      </c>
      <c r="GL248" s="5">
        <v>0.23152069492069999</v>
      </c>
      <c r="GM248" s="5">
        <v>-1.0037691277616299E-2</v>
      </c>
      <c r="GN248" s="5">
        <v>0.117558412130399</v>
      </c>
      <c r="GO248" s="5">
        <v>0.22037024880153</v>
      </c>
      <c r="GP248" s="5">
        <v>0.63264551204053698</v>
      </c>
      <c r="GQ248" s="5">
        <v>-0.201294598949256</v>
      </c>
      <c r="GR248" s="5">
        <v>0.64231355819540803</v>
      </c>
      <c r="GS248" s="5">
        <v>-0.35077523952081902</v>
      </c>
      <c r="GT248" s="5">
        <v>0.36755376020577102</v>
      </c>
      <c r="GU248" s="5">
        <v>1.5900932105788398E-2</v>
      </c>
      <c r="GV248" s="5">
        <v>0.46619287952113603</v>
      </c>
      <c r="GW248" s="5">
        <v>-0.170809054622759</v>
      </c>
      <c r="GX248" s="5">
        <v>0.44158443693590399</v>
      </c>
      <c r="GY248" s="5">
        <v>-3.3900236051218197E-2</v>
      </c>
      <c r="GZ248" s="5">
        <v>-0.14256297916859201</v>
      </c>
      <c r="HA248" s="5">
        <v>0.111438999499911</v>
      </c>
      <c r="HB248" s="5">
        <v>0.51765831577900001</v>
      </c>
      <c r="HC248" s="5">
        <v>-0.15490210906059201</v>
      </c>
      <c r="HD248" s="5">
        <v>0.132563530811589</v>
      </c>
      <c r="HE248" s="5">
        <v>0.31945882398040598</v>
      </c>
      <c r="HF248" s="5">
        <v>-0.149622539435007</v>
      </c>
      <c r="HG248" s="5">
        <v>0.14834305130042999</v>
      </c>
      <c r="HH248" s="5">
        <v>-7.9664410812946201E-2</v>
      </c>
      <c r="HI248" s="5">
        <v>0.17904839878744799</v>
      </c>
      <c r="HJ248" s="5">
        <v>-0.168729055892403</v>
      </c>
      <c r="HK248" s="5">
        <v>0.14902062485447101</v>
      </c>
      <c r="HL248" s="5">
        <v>0.48771700561153097</v>
      </c>
      <c r="HM248" s="5">
        <v>-6.8834903621251498E-2</v>
      </c>
      <c r="HN248" s="5">
        <v>3.8624527672045501E-2</v>
      </c>
      <c r="HO248" s="5">
        <v>0.121478882098586</v>
      </c>
      <c r="HP248" s="5">
        <v>0.45575144319234601</v>
      </c>
      <c r="HQ248" s="5">
        <v>1.38700787118166E-2</v>
      </c>
      <c r="HR248" s="5">
        <v>0.62653954054843497</v>
      </c>
      <c r="HS248" s="5">
        <v>-0.21209104440510901</v>
      </c>
      <c r="HT248" s="5">
        <v>3.4579943769970201E-2</v>
      </c>
      <c r="HU248" s="5">
        <v>0.183716894286449</v>
      </c>
      <c r="HV248" s="5">
        <v>0.553533205314796</v>
      </c>
      <c r="HW248" s="5">
        <v>-0.14637422324379701</v>
      </c>
      <c r="HX248" s="5">
        <v>0.57656570737652002</v>
      </c>
      <c r="HY248" s="5">
        <v>-0.17034000313901401</v>
      </c>
      <c r="HZ248" s="5">
        <v>-0.14061464902731299</v>
      </c>
      <c r="IA248" s="5">
        <v>0.23947291126588</v>
      </c>
      <c r="IB248" s="5">
        <v>-0.50126044086931398</v>
      </c>
      <c r="IC248" s="5">
        <v>0.46431219905189502</v>
      </c>
      <c r="ID248" s="5">
        <v>0.50618813103420301</v>
      </c>
      <c r="IE248" s="5">
        <v>-1.0368233561618201E-2</v>
      </c>
      <c r="IF248" s="5">
        <v>0.57725342219634301</v>
      </c>
      <c r="IG248" s="5">
        <v>-0.13355909071275099</v>
      </c>
      <c r="IH248" s="5">
        <v>0.30270237205575701</v>
      </c>
      <c r="II248" s="5">
        <v>-6.2073118825630498E-2</v>
      </c>
      <c r="IJ248" s="5">
        <v>0.36441447314799202</v>
      </c>
      <c r="IK248" s="5">
        <v>-0.20282329650927899</v>
      </c>
      <c r="IL248" s="5">
        <v>0.61332758948270705</v>
      </c>
      <c r="IM248" s="5">
        <v>-0.149601200373388</v>
      </c>
      <c r="IN248" s="5">
        <v>1</v>
      </c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</row>
    <row r="249" spans="1:389" x14ac:dyDescent="0.45">
      <c r="A249" s="4" t="str">
        <f ca="1">"MYS / beta2dist in "&amp;CELL("address",'damages-1990'!$K$125)</f>
        <v>MYS / beta2dist in '[BHM betas v3pd.xlsx]damages-1990'!$K$125</v>
      </c>
      <c r="B249" s="6">
        <v>-0.13687886217190201</v>
      </c>
      <c r="C249" s="5">
        <v>0.11572084070543601</v>
      </c>
      <c r="D249" s="5">
        <v>-0.229331970662494</v>
      </c>
      <c r="E249" s="5">
        <v>0.269077493918703</v>
      </c>
      <c r="F249" s="5">
        <v>-5.2307615723801298E-2</v>
      </c>
      <c r="G249" s="5">
        <v>3.8002558007900699E-3</v>
      </c>
      <c r="H249" s="5">
        <v>0.27468800605615601</v>
      </c>
      <c r="I249" s="5">
        <v>-0.321170477201635</v>
      </c>
      <c r="J249" s="5">
        <v>-0.34339388301609802</v>
      </c>
      <c r="K249" s="5">
        <v>0.35007002254460501</v>
      </c>
      <c r="L249" s="5">
        <v>-0.17686845357044001</v>
      </c>
      <c r="M249" s="5">
        <v>0.12530461079652799</v>
      </c>
      <c r="N249" s="5">
        <v>8.6512497600812699E-2</v>
      </c>
      <c r="O249" s="5">
        <v>-0.108536306621502</v>
      </c>
      <c r="P249" s="5">
        <v>-0.18246608187698499</v>
      </c>
      <c r="Q249" s="5">
        <v>0.25675133828763602</v>
      </c>
      <c r="R249" s="5">
        <v>-0.24307784165444299</v>
      </c>
      <c r="S249" s="5">
        <v>0.24555468477333001</v>
      </c>
      <c r="T249" s="5">
        <v>3.9147511423684E-2</v>
      </c>
      <c r="U249" s="5">
        <v>-4.4320704195057098E-2</v>
      </c>
      <c r="V249" s="5">
        <v>-5.4260997954148703E-2</v>
      </c>
      <c r="W249" s="5">
        <v>-5.0554942140785E-2</v>
      </c>
      <c r="X249" s="5">
        <v>-0.15184632383174801</v>
      </c>
      <c r="Y249" s="5">
        <v>0.16123897861078401</v>
      </c>
      <c r="Z249" s="5">
        <v>5.9959124240419701E-2</v>
      </c>
      <c r="AA249" s="5">
        <v>-8.2660233173627307E-2</v>
      </c>
      <c r="AB249" s="5">
        <v>-0.32223335721059099</v>
      </c>
      <c r="AC249" s="5">
        <v>0.428587469540332</v>
      </c>
      <c r="AD249" s="5">
        <v>-0.43786931149517</v>
      </c>
      <c r="AE249" s="5">
        <v>0.51748142105922101</v>
      </c>
      <c r="AF249" s="5">
        <v>-0.26539103508567102</v>
      </c>
      <c r="AG249" s="5">
        <v>0.32942241058237998</v>
      </c>
      <c r="AH249" s="5">
        <v>2.8554336841361198E-3</v>
      </c>
      <c r="AI249" s="5">
        <v>-3.8971928717255598E-2</v>
      </c>
      <c r="AJ249" s="5">
        <v>-0.37192327539258402</v>
      </c>
      <c r="AK249" s="5">
        <v>0.35810231685690203</v>
      </c>
      <c r="AL249" s="5">
        <v>-4.7319381409812601E-2</v>
      </c>
      <c r="AM249" s="5">
        <v>2.6158980497168E-2</v>
      </c>
      <c r="AN249" s="5">
        <v>4.4481813633839198E-2</v>
      </c>
      <c r="AO249" s="5">
        <v>-7.2100818490135596E-2</v>
      </c>
      <c r="AP249" s="5">
        <v>-5.9509160705572897E-2</v>
      </c>
      <c r="AQ249" s="5">
        <v>8.5470364975291299E-2</v>
      </c>
      <c r="AR249" s="5">
        <v>-0.45546499154162401</v>
      </c>
      <c r="AS249" s="5">
        <v>0.52232876112374704</v>
      </c>
      <c r="AT249" s="5">
        <v>3.81906401392412E-2</v>
      </c>
      <c r="AU249" s="5">
        <v>-0.119090626797081</v>
      </c>
      <c r="AV249" s="5">
        <v>-0.283527670326083</v>
      </c>
      <c r="AW249" s="5">
        <v>0.342098703916213</v>
      </c>
      <c r="AX249" s="5">
        <v>-0.40838935589832798</v>
      </c>
      <c r="AY249" s="5">
        <v>0.48208663342659303</v>
      </c>
      <c r="AZ249" s="5">
        <v>-0.33228694582265</v>
      </c>
      <c r="BA249" s="5">
        <v>0.395768606657112</v>
      </c>
      <c r="BB249" s="5">
        <v>-0.56955337016916896</v>
      </c>
      <c r="BC249" s="5">
        <v>0.68575915756331396</v>
      </c>
      <c r="BD249" s="5">
        <v>-6.7781302881308597E-2</v>
      </c>
      <c r="BE249" s="5">
        <v>3.1965111866435102E-2</v>
      </c>
      <c r="BF249" s="5">
        <v>-0.25668063330721103</v>
      </c>
      <c r="BG249" s="5">
        <v>0.26606150686251301</v>
      </c>
      <c r="BH249" s="5">
        <v>-0.47007693065580403</v>
      </c>
      <c r="BI249" s="5">
        <v>0.56347409532310999</v>
      </c>
      <c r="BJ249" s="5">
        <v>0.114666026415274</v>
      </c>
      <c r="BK249" s="5">
        <v>-0.202233795993152</v>
      </c>
      <c r="BL249" s="5">
        <v>1.6610597734647799E-2</v>
      </c>
      <c r="BM249" s="5">
        <v>-2.20460228183154E-2</v>
      </c>
      <c r="BN249" s="5">
        <v>0.16190979897897201</v>
      </c>
      <c r="BO249" s="5">
        <v>-0.25917385089035899</v>
      </c>
      <c r="BP249" s="5">
        <v>0.12869484686788901</v>
      </c>
      <c r="BQ249" s="5">
        <v>-0.23241315274149399</v>
      </c>
      <c r="BR249" s="5">
        <v>-0.40050408265991999</v>
      </c>
      <c r="BS249" s="5">
        <v>0.50308443662837599</v>
      </c>
      <c r="BT249" s="5">
        <v>-0.47723779476009998</v>
      </c>
      <c r="BU249" s="5">
        <v>0.60444842392137399</v>
      </c>
      <c r="BV249" s="5">
        <v>-0.33706186341727401</v>
      </c>
      <c r="BW249" s="5">
        <v>0.407422380918255</v>
      </c>
      <c r="BX249" s="5">
        <v>-0.331078237268776</v>
      </c>
      <c r="BY249" s="5">
        <v>0.43784303816250802</v>
      </c>
      <c r="BZ249" s="5">
        <v>-0.38631635357259603</v>
      </c>
      <c r="CA249" s="5">
        <v>0.44334862344030801</v>
      </c>
      <c r="CB249" s="5">
        <v>-0.123954067611077</v>
      </c>
      <c r="CC249" s="5">
        <v>0.205922312488934</v>
      </c>
      <c r="CD249" s="5">
        <v>-0.141460862984194</v>
      </c>
      <c r="CE249" s="5">
        <v>8.1180529578542604E-2</v>
      </c>
      <c r="CF249" s="5">
        <v>-0.42114750244604399</v>
      </c>
      <c r="CG249" s="5">
        <v>0.45819365377183102</v>
      </c>
      <c r="CH249" s="5">
        <v>-3.3983127418755997E-2</v>
      </c>
      <c r="CI249" s="5">
        <v>4.0476583526469503E-2</v>
      </c>
      <c r="CJ249" s="5">
        <v>-0.187084748375976</v>
      </c>
      <c r="CK249" s="5">
        <v>0.181703668282786</v>
      </c>
      <c r="CL249" s="5">
        <v>3.7054225867618001E-2</v>
      </c>
      <c r="CM249" s="5">
        <v>-4.9700540608875E-2</v>
      </c>
      <c r="CN249" s="5">
        <v>5.6193995059877697E-2</v>
      </c>
      <c r="CO249" s="5">
        <v>-7.8629480199018303E-2</v>
      </c>
      <c r="CP249" s="5">
        <v>-0.47006071505533498</v>
      </c>
      <c r="CQ249" s="5">
        <v>0.45760518211606499</v>
      </c>
      <c r="CR249" s="5">
        <v>-0.21936767886784</v>
      </c>
      <c r="CS249" s="5">
        <v>0.29683968920769499</v>
      </c>
      <c r="CT249" s="5">
        <v>6.4831393830497394E-2</v>
      </c>
      <c r="CU249" s="5">
        <v>-5.1392342215228898E-2</v>
      </c>
      <c r="CV249" s="5">
        <v>-0.21601235384834699</v>
      </c>
      <c r="CW249" s="5">
        <v>0.25301543241810398</v>
      </c>
      <c r="CX249" s="5">
        <v>-0.35981199962681398</v>
      </c>
      <c r="CY249" s="5">
        <v>0.373132649753532</v>
      </c>
      <c r="CZ249" s="5">
        <v>-0.30581561601665003</v>
      </c>
      <c r="DA249" s="5">
        <v>0.333509395409883</v>
      </c>
      <c r="DB249" s="5">
        <v>-4.1330707855608398E-2</v>
      </c>
      <c r="DC249" s="5">
        <v>-7.1238055929436606E-2</v>
      </c>
      <c r="DD249" s="5">
        <v>-0.420299014541483</v>
      </c>
      <c r="DE249" s="5">
        <v>0.44170536618019102</v>
      </c>
      <c r="DF249" s="5">
        <v>-0.327903910786701</v>
      </c>
      <c r="DG249" s="5">
        <v>0.334274240423999</v>
      </c>
      <c r="DH249" s="5">
        <v>-0.181322116525128</v>
      </c>
      <c r="DI249" s="5">
        <v>0.16968947601321599</v>
      </c>
      <c r="DJ249" s="5">
        <v>-2.5190143946678799E-2</v>
      </c>
      <c r="DK249" s="5">
        <v>5.4752760221950102E-2</v>
      </c>
      <c r="DL249" s="5">
        <v>-0.30159067254184102</v>
      </c>
      <c r="DM249" s="5">
        <v>0.35643226988951299</v>
      </c>
      <c r="DN249" s="5">
        <v>-1.85814190843323E-2</v>
      </c>
      <c r="DO249" s="5">
        <v>6.08577138812086E-2</v>
      </c>
      <c r="DP249" s="5">
        <v>-4.0827409722995998E-2</v>
      </c>
      <c r="DQ249" s="5">
        <v>3.6317696712820098E-2</v>
      </c>
      <c r="DR249" s="5">
        <v>2.40669026955019E-2</v>
      </c>
      <c r="DS249" s="5">
        <v>-6.34691696460086E-2</v>
      </c>
      <c r="DT249" s="5">
        <v>-0.37030645657521299</v>
      </c>
      <c r="DU249" s="5">
        <v>0.37357670445951502</v>
      </c>
      <c r="DV249" s="5">
        <v>-0.176944341862353</v>
      </c>
      <c r="DW249" s="5">
        <v>0.250985601592284</v>
      </c>
      <c r="DX249" s="5">
        <v>0.14411323770162601</v>
      </c>
      <c r="DY249" s="5">
        <v>-0.150199351427591</v>
      </c>
      <c r="DZ249" s="5">
        <v>3.7640643995335302E-2</v>
      </c>
      <c r="EA249" s="5">
        <v>-4.1291266566545803E-2</v>
      </c>
      <c r="EB249" s="5">
        <v>-0.47136625976718999</v>
      </c>
      <c r="EC249" s="5">
        <v>0.528165967607227</v>
      </c>
      <c r="ED249" s="5">
        <v>-0.33366473066448898</v>
      </c>
      <c r="EE249" s="5">
        <v>0.401051378418886</v>
      </c>
      <c r="EF249" s="5">
        <v>-0.21709786129758199</v>
      </c>
      <c r="EG249" s="5">
        <v>0.28519921966763701</v>
      </c>
      <c r="EH249" s="5">
        <v>-0.327180870372833</v>
      </c>
      <c r="EI249" s="5">
        <v>0.35028632474638499</v>
      </c>
      <c r="EJ249" s="5">
        <v>-0.27908104610372197</v>
      </c>
      <c r="EK249" s="5">
        <v>0.292899210020312</v>
      </c>
      <c r="EL249" s="5">
        <v>-0.41448026592199499</v>
      </c>
      <c r="EM249" s="5">
        <v>0.52556314432287699</v>
      </c>
      <c r="EN249" s="5">
        <v>-0.14446274754508701</v>
      </c>
      <c r="EO249" s="5">
        <v>9.7293489731131499E-2</v>
      </c>
      <c r="EP249" s="5">
        <v>-0.323392787946089</v>
      </c>
      <c r="EQ249" s="5">
        <v>0.35458975633894801</v>
      </c>
      <c r="ER249" s="5">
        <v>-0.45859712459546897</v>
      </c>
      <c r="ES249" s="5">
        <v>0.51376059689499798</v>
      </c>
      <c r="ET249" s="5">
        <v>-0.22631655919709601</v>
      </c>
      <c r="EU249" s="5">
        <v>0.290606368443378</v>
      </c>
      <c r="EV249" s="5">
        <v>-0.36340277770909402</v>
      </c>
      <c r="EW249" s="5">
        <v>0.42494955656456501</v>
      </c>
      <c r="EX249" s="5">
        <v>-8.3050798768721401E-2</v>
      </c>
      <c r="EY249" s="5">
        <v>0.13130776257580901</v>
      </c>
      <c r="EZ249" s="5">
        <v>-0.49416250427254499</v>
      </c>
      <c r="FA249" s="5">
        <v>0.56398679946375796</v>
      </c>
      <c r="FB249" s="5">
        <v>-2.4779749665674099E-2</v>
      </c>
      <c r="FC249" s="5">
        <v>-3.77500792356879E-3</v>
      </c>
      <c r="FD249" s="5">
        <v>-0.160798159791953</v>
      </c>
      <c r="FE249" s="5">
        <v>0.21622702496444399</v>
      </c>
      <c r="FF249" s="5">
        <v>1.01295535594661E-2</v>
      </c>
      <c r="FG249" s="5">
        <v>-2.74546082174092E-2</v>
      </c>
      <c r="FH249" s="5">
        <v>-0.34446558638966102</v>
      </c>
      <c r="FI249" s="5">
        <v>0.56971874916406795</v>
      </c>
      <c r="FJ249" s="5">
        <v>-0.116680847138684</v>
      </c>
      <c r="FK249" s="5">
        <v>0.101324930842525</v>
      </c>
      <c r="FL249" s="5">
        <v>0.179925112708373</v>
      </c>
      <c r="FM249" s="5">
        <v>-0.19679119718691299</v>
      </c>
      <c r="FN249" s="5">
        <v>-0.34254433222623798</v>
      </c>
      <c r="FO249" s="5">
        <v>0.32686385958264202</v>
      </c>
      <c r="FP249" s="5">
        <v>-0.39097373959585002</v>
      </c>
      <c r="FQ249" s="5">
        <v>0.37210993156394401</v>
      </c>
      <c r="FR249" s="5">
        <v>0.17584139031269599</v>
      </c>
      <c r="FS249" s="5">
        <v>-3.8756083288345497E-2</v>
      </c>
      <c r="FT249" s="5">
        <v>-0.18022448073973801</v>
      </c>
      <c r="FU249" s="5">
        <v>0.11419202641692899</v>
      </c>
      <c r="FV249" s="5">
        <v>-8.0956532054053107E-2</v>
      </c>
      <c r="FW249" s="5">
        <v>6.9482773314635302E-2</v>
      </c>
      <c r="FX249" s="5">
        <v>-0.206987999405983</v>
      </c>
      <c r="FY249" s="5">
        <v>0.23968117410700501</v>
      </c>
      <c r="FZ249" s="5">
        <v>-0.21584416947318899</v>
      </c>
      <c r="GA249" s="5">
        <v>0.15263113837373801</v>
      </c>
      <c r="GB249" s="5">
        <v>1.6186919521070199E-4</v>
      </c>
      <c r="GC249" s="5">
        <v>-4.31563179071318E-2</v>
      </c>
      <c r="GD249" s="5">
        <v>0.29874430994392698</v>
      </c>
      <c r="GE249" s="5">
        <v>-0.34082814674149198</v>
      </c>
      <c r="GF249" s="5">
        <v>-0.13777899756281201</v>
      </c>
      <c r="GG249" s="5">
        <v>0.22140457165385399</v>
      </c>
      <c r="GH249" s="5">
        <v>0.304603885608555</v>
      </c>
      <c r="GI249" s="5">
        <v>-0.34521230190549301</v>
      </c>
      <c r="GJ249" s="5">
        <v>-0.33980642465925498</v>
      </c>
      <c r="GK249" s="5">
        <v>0.404479907894498</v>
      </c>
      <c r="GL249" s="5">
        <v>-0.21181745437847899</v>
      </c>
      <c r="GM249" s="5">
        <v>0.27049826593543502</v>
      </c>
      <c r="GN249" s="5">
        <v>-2.1565803965088001E-2</v>
      </c>
      <c r="GO249" s="5">
        <v>-2.52376374758638E-2</v>
      </c>
      <c r="GP249" s="5">
        <v>-0.459517157967965</v>
      </c>
      <c r="GQ249" s="5">
        <v>0.453215252722795</v>
      </c>
      <c r="GR249" s="5">
        <v>-0.32061275750588702</v>
      </c>
      <c r="GS249" s="5">
        <v>0.42148805013638402</v>
      </c>
      <c r="GT249" s="5">
        <v>-0.18202484303775901</v>
      </c>
      <c r="GU249" s="5">
        <v>0.14884562454403999</v>
      </c>
      <c r="GV249" s="5">
        <v>-0.17003426950306499</v>
      </c>
      <c r="GW249" s="5">
        <v>0.30494131141630199</v>
      </c>
      <c r="GX249" s="5">
        <v>-0.12588598668405099</v>
      </c>
      <c r="GY249" s="5">
        <v>8.86488981015887E-2</v>
      </c>
      <c r="GZ249" s="5">
        <v>2.40822798948866E-2</v>
      </c>
      <c r="HA249" s="5">
        <v>-3.5741030197434097E-2</v>
      </c>
      <c r="HB249" s="5">
        <v>-0.14980993813135099</v>
      </c>
      <c r="HC249" s="5">
        <v>0.23530636180834999</v>
      </c>
      <c r="HD249" s="5">
        <v>-6.64486919402065E-2</v>
      </c>
      <c r="HE249" s="5">
        <v>1.4323501265237199E-2</v>
      </c>
      <c r="HF249" s="5">
        <v>-2.4325800860665998E-2</v>
      </c>
      <c r="HG249" s="5">
        <v>4.4736133605479803E-2</v>
      </c>
      <c r="HH249" s="5">
        <v>6.9288146456305502E-2</v>
      </c>
      <c r="HI249" s="5">
        <v>-0.10000217468365701</v>
      </c>
      <c r="HJ249" s="5">
        <v>-2.19667644711747E-2</v>
      </c>
      <c r="HK249" s="5">
        <v>4.6385967191155002E-2</v>
      </c>
      <c r="HL249" s="5">
        <v>-0.34699541847668902</v>
      </c>
      <c r="HM249" s="5">
        <v>0.37665977385924698</v>
      </c>
      <c r="HN249" s="5">
        <v>-2.99021229508416E-2</v>
      </c>
      <c r="HO249" s="5">
        <v>3.3441020658189297E-2</v>
      </c>
      <c r="HP249" s="5">
        <v>-6.3455926721442202E-3</v>
      </c>
      <c r="HQ249" s="5">
        <v>2.0814781082848201E-2</v>
      </c>
      <c r="HR249" s="5">
        <v>-0.253353418153068</v>
      </c>
      <c r="HS249" s="5">
        <v>0.27635866457276298</v>
      </c>
      <c r="HT249" s="5">
        <v>6.47071833337099E-3</v>
      </c>
      <c r="HU249" s="5">
        <v>-3.9070385475717499E-2</v>
      </c>
      <c r="HV249" s="5">
        <v>-0.34945911773483701</v>
      </c>
      <c r="HW249" s="5">
        <v>0.41382006288918999</v>
      </c>
      <c r="HX249" s="5">
        <v>-0.21025364640949001</v>
      </c>
      <c r="HY249" s="5">
        <v>0.30564197661597398</v>
      </c>
      <c r="HZ249" s="5">
        <v>0.108704378820174</v>
      </c>
      <c r="IA249" s="5">
        <v>-0.135353443288769</v>
      </c>
      <c r="IB249" s="5">
        <v>0.499610695573527</v>
      </c>
      <c r="IC249" s="5">
        <v>-0.57565207257840301</v>
      </c>
      <c r="ID249" s="5">
        <v>-0.10048923902739799</v>
      </c>
      <c r="IE249" s="5">
        <v>9.3232398691789897E-2</v>
      </c>
      <c r="IF249" s="5">
        <v>-0.35589430032942798</v>
      </c>
      <c r="IG249" s="5">
        <v>0.40631100596068498</v>
      </c>
      <c r="IH249" s="5">
        <v>-0.262023461544938</v>
      </c>
      <c r="II249" s="5">
        <v>0.336884546257117</v>
      </c>
      <c r="IJ249" s="5">
        <v>-0.11181099263012401</v>
      </c>
      <c r="IK249" s="5">
        <v>0.157839566048671</v>
      </c>
      <c r="IL249" s="5">
        <v>-0.26274638753006602</v>
      </c>
      <c r="IM249" s="5">
        <v>0.27186347051155302</v>
      </c>
      <c r="IN249" s="5">
        <v>-0.72907332666777402</v>
      </c>
      <c r="IO249" s="5">
        <v>1</v>
      </c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</row>
    <row r="250" spans="1:389" x14ac:dyDescent="0.45">
      <c r="A250" s="4" t="str">
        <f ca="1">"NAM / beta1dist in "&amp;CELL("address",'damages-1990'!$J$126)</f>
        <v>NAM / beta1dist in '[BHM betas v3pd.xlsx]damages-1990'!$J$126</v>
      </c>
      <c r="B250" s="6">
        <v>0.25260000313671499</v>
      </c>
      <c r="C250" s="5">
        <v>0.18534586995041499</v>
      </c>
      <c r="D250" s="5">
        <v>0.77534767609564603</v>
      </c>
      <c r="E250" s="5">
        <v>-0.46264741997653203</v>
      </c>
      <c r="F250" s="5">
        <v>0.20512634792363801</v>
      </c>
      <c r="G250" s="5">
        <v>0.12608394553027599</v>
      </c>
      <c r="H250" s="5">
        <v>-5.41270708301725E-2</v>
      </c>
      <c r="I250" s="5">
        <v>4.5073855106414699E-2</v>
      </c>
      <c r="J250" s="5">
        <v>0.384521409001924</v>
      </c>
      <c r="K250" s="5">
        <v>-1.80464164527087E-2</v>
      </c>
      <c r="L250" s="5">
        <v>0.38060879356280702</v>
      </c>
      <c r="M250" s="5">
        <v>6.3061198973458701E-2</v>
      </c>
      <c r="N250" s="5">
        <v>0.15961859460218</v>
      </c>
      <c r="O250" s="5">
        <v>-0.15098324422173001</v>
      </c>
      <c r="P250" s="5">
        <v>0.51388002801975596</v>
      </c>
      <c r="Q250" s="5">
        <v>-0.37093955473396301</v>
      </c>
      <c r="R250" s="5">
        <v>0.49562131368691398</v>
      </c>
      <c r="S250" s="5">
        <v>-0.19322590140653201</v>
      </c>
      <c r="T250" s="5">
        <v>0.242044652543809</v>
      </c>
      <c r="U250" s="5">
        <v>-0.262767922784713</v>
      </c>
      <c r="V250" s="5">
        <v>0.289766592448714</v>
      </c>
      <c r="W250" s="5">
        <v>0.130333147591187</v>
      </c>
      <c r="X250" s="5">
        <v>0.69740076211841695</v>
      </c>
      <c r="Y250" s="5">
        <v>-0.375489817133357</v>
      </c>
      <c r="Z250" s="5">
        <v>0.17504118174303199</v>
      </c>
      <c r="AA250" s="5">
        <v>-5.9131946848854901E-2</v>
      </c>
      <c r="AB250" s="5">
        <v>0.58759775911396195</v>
      </c>
      <c r="AC250" s="5">
        <v>-0.36608999175013202</v>
      </c>
      <c r="AD250" s="5">
        <v>0.52944269596890003</v>
      </c>
      <c r="AE250" s="5">
        <v>-0.264312238799982</v>
      </c>
      <c r="AF250" s="5">
        <v>0.39272812482945801</v>
      </c>
      <c r="AG250" s="5">
        <v>-0.142768337988981</v>
      </c>
      <c r="AH250" s="5">
        <v>0.234283423603875</v>
      </c>
      <c r="AI250" s="5">
        <v>1.19939483361182E-2</v>
      </c>
      <c r="AJ250" s="5">
        <v>0.31855957238250399</v>
      </c>
      <c r="AK250" s="5">
        <v>3.12194122104382E-2</v>
      </c>
      <c r="AL250" s="5">
        <v>0.25434952525370602</v>
      </c>
      <c r="AM250" s="5">
        <v>-2.9313706704602101E-2</v>
      </c>
      <c r="AN250" s="5">
        <v>0.27601694259477799</v>
      </c>
      <c r="AO250" s="5">
        <v>-0.16466473317052599</v>
      </c>
      <c r="AP250" s="5">
        <v>5.1040538438547403E-2</v>
      </c>
      <c r="AQ250" s="5">
        <v>-2.6444605207102501E-2</v>
      </c>
      <c r="AR250" s="5">
        <v>0.48275945835940398</v>
      </c>
      <c r="AS250" s="5">
        <v>-0.23797339407586801</v>
      </c>
      <c r="AT250" s="5">
        <v>0.20942665088855</v>
      </c>
      <c r="AU250" s="5">
        <v>3.1508817121529802E-2</v>
      </c>
      <c r="AV250" s="5">
        <v>0.54531172312228005</v>
      </c>
      <c r="AW250" s="5">
        <v>-0.27977243168440502</v>
      </c>
      <c r="AX250" s="5">
        <v>0.62442440560120904</v>
      </c>
      <c r="AY250" s="5">
        <v>-0.40500231456855401</v>
      </c>
      <c r="AZ250" s="5">
        <v>0.52033706319988304</v>
      </c>
      <c r="BA250" s="5">
        <v>-0.38817664955174602</v>
      </c>
      <c r="BB250" s="5">
        <v>0.49210498487555898</v>
      </c>
      <c r="BC250" s="5">
        <v>-0.17741026918730099</v>
      </c>
      <c r="BD250" s="5">
        <v>0.194067005547194</v>
      </c>
      <c r="BE250" s="5">
        <v>0.20685629532507499</v>
      </c>
      <c r="BF250" s="5">
        <v>0.78195467817417597</v>
      </c>
      <c r="BG250" s="5">
        <v>-0.55076814577931799</v>
      </c>
      <c r="BH250" s="5">
        <v>0.66636335752603904</v>
      </c>
      <c r="BI250" s="5">
        <v>-0.38411315178463001</v>
      </c>
      <c r="BJ250" s="5">
        <v>-6.9140284895715401E-2</v>
      </c>
      <c r="BK250" s="5">
        <v>-3.8690209112465603E-2</v>
      </c>
      <c r="BL250" s="5">
        <v>0.17909181390857801</v>
      </c>
      <c r="BM250" s="5">
        <v>-0.22811069111945201</v>
      </c>
      <c r="BN250" s="5">
        <v>-1.4483650640681999E-2</v>
      </c>
      <c r="BO250" s="5">
        <v>0.18538919480229599</v>
      </c>
      <c r="BP250" s="5">
        <v>-7.0485733951954094E-2</v>
      </c>
      <c r="BQ250" s="5">
        <v>0.30199488224938198</v>
      </c>
      <c r="BR250" s="5">
        <v>0.57023470698428402</v>
      </c>
      <c r="BS250" s="5">
        <v>-0.32698208789524502</v>
      </c>
      <c r="BT250" s="5">
        <v>0.61255591610050997</v>
      </c>
      <c r="BU250" s="5">
        <v>-0.33588783529909699</v>
      </c>
      <c r="BV250" s="5">
        <v>0.60986120272830302</v>
      </c>
      <c r="BW250" s="5">
        <v>-0.30850400667287298</v>
      </c>
      <c r="BX250" s="5">
        <v>0.57475113953899803</v>
      </c>
      <c r="BY250" s="5">
        <v>-0.327663984682943</v>
      </c>
      <c r="BZ250" s="5">
        <v>0.57933452203406799</v>
      </c>
      <c r="CA250" s="5">
        <v>-0.335629716634959</v>
      </c>
      <c r="CB250" s="5">
        <v>0.40396511946226499</v>
      </c>
      <c r="CC250" s="5">
        <v>-0.212728022604011</v>
      </c>
      <c r="CD250" s="5">
        <v>0.28067480015794199</v>
      </c>
      <c r="CE250" s="5">
        <v>-0.118747957136955</v>
      </c>
      <c r="CF250" s="5">
        <v>0.62633070691835702</v>
      </c>
      <c r="CG250" s="5">
        <v>-0.43376798900417501</v>
      </c>
      <c r="CH250" s="5">
        <v>0.25359508137669201</v>
      </c>
      <c r="CI250" s="5">
        <v>-7.2794064796043195E-2</v>
      </c>
      <c r="CJ250" s="5">
        <v>-2.00473761775509E-2</v>
      </c>
      <c r="CK250" s="5">
        <v>0.35132958138849602</v>
      </c>
      <c r="CL250" s="5">
        <v>0.24127913627127701</v>
      </c>
      <c r="CM250" s="5">
        <v>-0.20867499091371</v>
      </c>
      <c r="CN250" s="5">
        <v>0.19104500007563399</v>
      </c>
      <c r="CO250" s="5">
        <v>-0.116821734592194</v>
      </c>
      <c r="CP250" s="5">
        <v>0.44926802921127101</v>
      </c>
      <c r="CQ250" s="5">
        <v>-0.189876384384496</v>
      </c>
      <c r="CR250" s="5">
        <v>0.53611707697597799</v>
      </c>
      <c r="CS250" s="5">
        <v>-0.376733114637686</v>
      </c>
      <c r="CT250" s="5">
        <v>0.12543752051510601</v>
      </c>
      <c r="CU250" s="5">
        <v>-9.2645335530899306E-2</v>
      </c>
      <c r="CV250" s="5">
        <v>0.51752819206424105</v>
      </c>
      <c r="CW250" s="5">
        <v>-0.33546086751325699</v>
      </c>
      <c r="CX250" s="5">
        <v>0.43166129978577999</v>
      </c>
      <c r="CY250" s="5">
        <v>-9.4699728107617495E-2</v>
      </c>
      <c r="CZ250" s="5">
        <v>0.62668141021485502</v>
      </c>
      <c r="DA250" s="5">
        <v>-0.41556182243440598</v>
      </c>
      <c r="DB250" s="5">
        <v>0.39689465473848101</v>
      </c>
      <c r="DC250" s="5">
        <v>2.55070885058408E-2</v>
      </c>
      <c r="DD250" s="5">
        <v>0.44532578576453602</v>
      </c>
      <c r="DE250" s="5">
        <v>-0.153658575732317</v>
      </c>
      <c r="DF250" s="5">
        <v>0.42618540503021402</v>
      </c>
      <c r="DG250" s="5">
        <v>-0.13956264223947701</v>
      </c>
      <c r="DH250" s="5">
        <v>0.32434422481097602</v>
      </c>
      <c r="DI250" s="5">
        <v>2.69036555100114E-2</v>
      </c>
      <c r="DJ250" s="5">
        <v>-3.1441474385555399E-3</v>
      </c>
      <c r="DK250" s="5">
        <v>-1.07477556501069E-3</v>
      </c>
      <c r="DL250" s="5">
        <v>0.511156716008629</v>
      </c>
      <c r="DM250" s="5">
        <v>-0.190000724377553</v>
      </c>
      <c r="DN250" s="5">
        <v>-9.5481821278267001E-2</v>
      </c>
      <c r="DO250" s="5">
        <v>3.7962083804351503E-2</v>
      </c>
      <c r="DP250" s="5">
        <v>0.25396948687132198</v>
      </c>
      <c r="DQ250" s="5">
        <v>3.2800410320703299E-2</v>
      </c>
      <c r="DR250" s="5">
        <v>0.21098029899829401</v>
      </c>
      <c r="DS250" s="5">
        <v>8.4839837836182003E-3</v>
      </c>
      <c r="DT250" s="5">
        <v>0.21469495990367399</v>
      </c>
      <c r="DU250" s="5">
        <v>-4.7841168362045002E-2</v>
      </c>
      <c r="DV250" s="5">
        <v>0.513804628499683</v>
      </c>
      <c r="DW250" s="5">
        <v>-0.31345940958773899</v>
      </c>
      <c r="DX250" s="5">
        <v>7.92201284652202E-3</v>
      </c>
      <c r="DY250" s="5">
        <v>6.24617546938794E-2</v>
      </c>
      <c r="DZ250" s="5">
        <v>0.20678249763105699</v>
      </c>
      <c r="EA250" s="5">
        <v>-0.19795527608454799</v>
      </c>
      <c r="EB250" s="5">
        <v>0.60964823953578096</v>
      </c>
      <c r="EC250" s="5">
        <v>-0.34400334234067698</v>
      </c>
      <c r="ED250" s="5">
        <v>0.61927978760035096</v>
      </c>
      <c r="EE250" s="5">
        <v>-0.34021090505953</v>
      </c>
      <c r="EF250" s="5">
        <v>0.52997260995016005</v>
      </c>
      <c r="EG250" s="5">
        <v>-0.37823250113347201</v>
      </c>
      <c r="EH250" s="5">
        <v>0.61815231182711095</v>
      </c>
      <c r="EI250" s="5">
        <v>-0.32211891519473601</v>
      </c>
      <c r="EJ250" s="5">
        <v>0.63302853198749098</v>
      </c>
      <c r="EK250" s="5">
        <v>-0.35233654455975</v>
      </c>
      <c r="EL250" s="5">
        <v>0.63910269865022495</v>
      </c>
      <c r="EM250" s="5">
        <v>-0.39049871330326402</v>
      </c>
      <c r="EN250" s="5">
        <v>4.5083915388667399E-2</v>
      </c>
      <c r="EO250" s="5">
        <v>0.337657842796937</v>
      </c>
      <c r="EP250" s="5">
        <v>0.54757290963502903</v>
      </c>
      <c r="EQ250" s="5">
        <v>-0.41861804116196799</v>
      </c>
      <c r="ER250" s="5">
        <v>0.50539037396500097</v>
      </c>
      <c r="ES250" s="5">
        <v>-0.23188095649063301</v>
      </c>
      <c r="ET250" s="5">
        <v>0.66861318398203096</v>
      </c>
      <c r="EU250" s="5">
        <v>-0.52580814228593598</v>
      </c>
      <c r="EV250" s="5">
        <v>0.52009645181884001</v>
      </c>
      <c r="EW250" s="5">
        <v>-0.33882627113284203</v>
      </c>
      <c r="EX250" s="5">
        <v>0.45478411923440099</v>
      </c>
      <c r="EY250" s="5">
        <v>-0.30716598242506199</v>
      </c>
      <c r="EZ250" s="5">
        <v>0.474943095171312</v>
      </c>
      <c r="FA250" s="5">
        <v>-0.19196350663339601</v>
      </c>
      <c r="FB250" s="5">
        <v>0.25605609213688402</v>
      </c>
      <c r="FC250" s="5">
        <v>-1.21897039755515E-2</v>
      </c>
      <c r="FD250" s="5">
        <v>0.41488724396856702</v>
      </c>
      <c r="FE250" s="5">
        <v>-0.222204724529213</v>
      </c>
      <c r="FF250" s="5">
        <v>0.246331307231796</v>
      </c>
      <c r="FG250" s="5">
        <v>-5.0600196392699297E-2</v>
      </c>
      <c r="FH250" s="5">
        <v>0.45621387973982103</v>
      </c>
      <c r="FI250" s="5">
        <v>-0.15375160221084</v>
      </c>
      <c r="FJ250" s="5">
        <v>0.55275559927284501</v>
      </c>
      <c r="FK250" s="5">
        <v>-0.18659879621140699</v>
      </c>
      <c r="FL250" s="5">
        <v>-7.8513658603853995E-2</v>
      </c>
      <c r="FM250" s="5">
        <v>0.18938526746157899</v>
      </c>
      <c r="FN250" s="5">
        <v>0.34990465946948401</v>
      </c>
      <c r="FO250" s="5">
        <v>9.0168613191729793E-2</v>
      </c>
      <c r="FP250" s="5">
        <v>0.34074245382294699</v>
      </c>
      <c r="FQ250" s="5">
        <v>7.8014751524447104E-2</v>
      </c>
      <c r="FR250" s="5">
        <v>-0.19132236191076499</v>
      </c>
      <c r="FS250" s="5">
        <v>0.207706563729462</v>
      </c>
      <c r="FT250" s="5">
        <v>0.319976424686993</v>
      </c>
      <c r="FU250" s="5">
        <v>0.127783472216602</v>
      </c>
      <c r="FV250" s="5">
        <v>0.25736461728812299</v>
      </c>
      <c r="FW250" s="5">
        <v>9.3536184987105503E-2</v>
      </c>
      <c r="FX250" s="5">
        <v>0.47016921496840902</v>
      </c>
      <c r="FY250" s="5">
        <v>-0.28427282879076599</v>
      </c>
      <c r="FZ250" s="5">
        <v>0.405599962201032</v>
      </c>
      <c r="GA250" s="5">
        <v>6.2872221476140702E-2</v>
      </c>
      <c r="GB250" s="5">
        <v>0.22705347502637099</v>
      </c>
      <c r="GC250" s="5">
        <v>6.9829700422914101E-2</v>
      </c>
      <c r="GD250" s="5">
        <v>5.2728616088917202E-3</v>
      </c>
      <c r="GE250" s="5">
        <v>4.5674005809820499E-2</v>
      </c>
      <c r="GF250" s="5">
        <v>0.43236950257981999</v>
      </c>
      <c r="GG250" s="5">
        <v>-0.16253352570459001</v>
      </c>
      <c r="GH250" s="5">
        <v>-0.25167430087176001</v>
      </c>
      <c r="GI250" s="5">
        <v>0.25593328041228403</v>
      </c>
      <c r="GJ250" s="5">
        <v>0.55217618463542495</v>
      </c>
      <c r="GK250" s="5">
        <v>-0.36781723169874098</v>
      </c>
      <c r="GL250" s="5">
        <v>0.54740558978394105</v>
      </c>
      <c r="GM250" s="5">
        <v>-0.385463339229068</v>
      </c>
      <c r="GN250" s="5">
        <v>0.24217024711041099</v>
      </c>
      <c r="GO250" s="5">
        <v>7.9025451874358096E-2</v>
      </c>
      <c r="GP250" s="5">
        <v>0.43458234359749898</v>
      </c>
      <c r="GQ250" s="5">
        <v>-6.3090026632262305E-2</v>
      </c>
      <c r="GR250" s="5">
        <v>0.5715843849369</v>
      </c>
      <c r="GS250" s="5">
        <v>-0.380155099039232</v>
      </c>
      <c r="GT250" s="5">
        <v>0.25633535542513902</v>
      </c>
      <c r="GU250" s="5">
        <v>0.20168048792058199</v>
      </c>
      <c r="GV250" s="5">
        <v>0.57404956043517297</v>
      </c>
      <c r="GW250" s="5">
        <v>-0.42253261412501603</v>
      </c>
      <c r="GX250" s="5">
        <v>0.36154783879796998</v>
      </c>
      <c r="GY250" s="5">
        <v>-3.7119281813731399E-2</v>
      </c>
      <c r="GZ250" s="5">
        <v>0.19405291534272101</v>
      </c>
      <c r="HA250" s="5">
        <v>-0.24017014612339899</v>
      </c>
      <c r="HB250" s="5">
        <v>0.58011437585664105</v>
      </c>
      <c r="HC250" s="5">
        <v>-0.38399123695807702</v>
      </c>
      <c r="HD250" s="5">
        <v>0.31861135806779001</v>
      </c>
      <c r="HE250" s="5">
        <v>4.8167768092386598E-2</v>
      </c>
      <c r="HF250" s="5">
        <v>6.50703760899696E-2</v>
      </c>
      <c r="HG250" s="5">
        <v>-4.6690379433127899E-2</v>
      </c>
      <c r="HH250" s="5">
        <v>0.16742088772885899</v>
      </c>
      <c r="HI250" s="5">
        <v>-7.3462594135301401E-2</v>
      </c>
      <c r="HJ250" s="5">
        <v>3.7648811198155399E-2</v>
      </c>
      <c r="HK250" s="5">
        <v>-3.4446256318235703E-2</v>
      </c>
      <c r="HL250" s="5">
        <v>0.45695269369084801</v>
      </c>
      <c r="HM250" s="5">
        <v>-0.124303000641729</v>
      </c>
      <c r="HN250" s="5">
        <v>0.21640898506949999</v>
      </c>
      <c r="HO250" s="5">
        <v>-4.9880410600520897E-2</v>
      </c>
      <c r="HP250" s="5">
        <v>0.40687900499672403</v>
      </c>
      <c r="HQ250" s="5">
        <v>-7.5208604999933301E-2</v>
      </c>
      <c r="HR250" s="5">
        <v>0.55655115631972296</v>
      </c>
      <c r="HS250" s="5">
        <v>-0.27985402037184298</v>
      </c>
      <c r="HT250" s="5">
        <v>0.23149134276608499</v>
      </c>
      <c r="HU250" s="5">
        <v>-8.71877002522118E-3</v>
      </c>
      <c r="HV250" s="5">
        <v>0.43311193882494398</v>
      </c>
      <c r="HW250" s="5">
        <v>-0.13214622630702599</v>
      </c>
      <c r="HX250" s="5">
        <v>0.52488721090216095</v>
      </c>
      <c r="HY250" s="5">
        <v>-0.23627413682958401</v>
      </c>
      <c r="HZ250" s="5">
        <v>0.26322035210654499</v>
      </c>
      <c r="IA250" s="5">
        <v>-0.20451855432788699</v>
      </c>
      <c r="IB250" s="5">
        <v>-0.185068131254155</v>
      </c>
      <c r="IC250" s="5">
        <v>0.17677860487285901</v>
      </c>
      <c r="ID250" s="5">
        <v>0.64478349120969103</v>
      </c>
      <c r="IE250" s="5">
        <v>-0.36446621185252298</v>
      </c>
      <c r="IF250" s="5">
        <v>0.48242051454712598</v>
      </c>
      <c r="IG250" s="5">
        <v>-0.15258293061123401</v>
      </c>
      <c r="IH250" s="5">
        <v>0.53665764778263103</v>
      </c>
      <c r="II250" s="5">
        <v>-0.390222952357902</v>
      </c>
      <c r="IJ250" s="5">
        <v>0.31196915899335798</v>
      </c>
      <c r="IK250" s="5">
        <v>-0.15677977100590201</v>
      </c>
      <c r="IL250" s="5">
        <v>0.454684323503242</v>
      </c>
      <c r="IM250" s="5">
        <v>-0.11041857411655</v>
      </c>
      <c r="IN250" s="5">
        <v>0.53936801235670195</v>
      </c>
      <c r="IO250" s="5">
        <v>-0.23979221923999799</v>
      </c>
      <c r="IP250" s="5">
        <v>1</v>
      </c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</row>
    <row r="251" spans="1:389" x14ac:dyDescent="0.45">
      <c r="A251" s="4" t="str">
        <f ca="1">"NAM / beta2dist in "&amp;CELL("address",'damages-1990'!$K$126)</f>
        <v>NAM / beta2dist in '[BHM betas v3pd.xlsx]damages-1990'!$K$126</v>
      </c>
      <c r="B251" s="6">
        <v>-5.4857653036381002E-2</v>
      </c>
      <c r="C251" s="5">
        <v>0.100765179134871</v>
      </c>
      <c r="D251" s="5">
        <v>-0.47057530811029702</v>
      </c>
      <c r="E251" s="5">
        <v>0.71076812476481899</v>
      </c>
      <c r="F251" s="5">
        <v>-1.1001140406838901E-2</v>
      </c>
      <c r="G251" s="5">
        <v>-3.0234901507061301E-2</v>
      </c>
      <c r="H251" s="5">
        <v>-5.6765356156825403E-2</v>
      </c>
      <c r="I251" s="5">
        <v>2.27152269663577E-2</v>
      </c>
      <c r="J251" s="5">
        <v>-2.0460985844552599E-2</v>
      </c>
      <c r="K251" s="5">
        <v>0.12776564695777201</v>
      </c>
      <c r="L251" s="5">
        <v>1.9375110526798901E-2</v>
      </c>
      <c r="M251" s="5">
        <v>-6.4909676208850298E-2</v>
      </c>
      <c r="N251" s="5">
        <v>-0.20185910689425199</v>
      </c>
      <c r="O251" s="5">
        <v>0.24144583181957499</v>
      </c>
      <c r="P251" s="5">
        <v>-0.51177063766808195</v>
      </c>
      <c r="Q251" s="5">
        <v>0.66200829668203898</v>
      </c>
      <c r="R251" s="5">
        <v>-8.5594057362939596E-2</v>
      </c>
      <c r="S251" s="5">
        <v>0.30469276140803497</v>
      </c>
      <c r="T251" s="5">
        <v>-0.42122120713904998</v>
      </c>
      <c r="U251" s="5">
        <v>0.48625872741430398</v>
      </c>
      <c r="V251" s="5">
        <v>-2.7372978580452199E-2</v>
      </c>
      <c r="W251" s="5">
        <v>2.4655576660947299E-2</v>
      </c>
      <c r="X251" s="5">
        <v>-0.41261829518399601</v>
      </c>
      <c r="Y251" s="5">
        <v>0.60089985561572301</v>
      </c>
      <c r="Z251" s="5">
        <v>-0.200527526542364</v>
      </c>
      <c r="AA251" s="5">
        <v>0.23897018118798899</v>
      </c>
      <c r="AB251" s="5">
        <v>-0.32382359961718898</v>
      </c>
      <c r="AC251" s="5">
        <v>0.54516018203778804</v>
      </c>
      <c r="AD251" s="5">
        <v>-0.30042511371292602</v>
      </c>
      <c r="AE251" s="5">
        <v>0.49298390612892301</v>
      </c>
      <c r="AF251" s="5">
        <v>-9.7744656419905707E-2</v>
      </c>
      <c r="AG251" s="5">
        <v>0.27283337930190399</v>
      </c>
      <c r="AH251" s="5">
        <v>-0.114304443882598</v>
      </c>
      <c r="AI251" s="5">
        <v>0.11801610271849</v>
      </c>
      <c r="AJ251" s="5">
        <v>1.5338218588668301E-2</v>
      </c>
      <c r="AK251" s="5">
        <v>7.7434703034967398E-2</v>
      </c>
      <c r="AL251" s="5">
        <v>0.200393976671976</v>
      </c>
      <c r="AM251" s="5">
        <v>-0.20399645346655601</v>
      </c>
      <c r="AN251" s="5">
        <v>-0.315617638284174</v>
      </c>
      <c r="AO251" s="5">
        <v>0.37781646856031897</v>
      </c>
      <c r="AP251" s="5">
        <v>-0.24436675290429599</v>
      </c>
      <c r="AQ251" s="5">
        <v>0.28748207252102098</v>
      </c>
      <c r="AR251" s="5">
        <v>-0.117004775146572</v>
      </c>
      <c r="AS251" s="5">
        <v>0.261922523563897</v>
      </c>
      <c r="AT251" s="5">
        <v>0.220483386393101</v>
      </c>
      <c r="AU251" s="5">
        <v>-0.24165316218490501</v>
      </c>
      <c r="AV251" s="5">
        <v>-8.0078942892439595E-2</v>
      </c>
      <c r="AW251" s="5">
        <v>0.33277541003042599</v>
      </c>
      <c r="AX251" s="5">
        <v>-0.208540574837249</v>
      </c>
      <c r="AY251" s="5">
        <v>0.50407938337959701</v>
      </c>
      <c r="AZ251" s="5">
        <v>-0.46922668231775699</v>
      </c>
      <c r="BA251" s="5">
        <v>0.61922188377589504</v>
      </c>
      <c r="BB251" s="5">
        <v>-0.114973399246788</v>
      </c>
      <c r="BC251" s="5">
        <v>0.33972290200376498</v>
      </c>
      <c r="BD251" s="5">
        <v>-9.5523640977064103E-2</v>
      </c>
      <c r="BE251" s="5">
        <v>0.12288968971697101</v>
      </c>
      <c r="BF251" s="5">
        <v>-0.52921435878890999</v>
      </c>
      <c r="BG251" s="5">
        <v>0.74408504585927204</v>
      </c>
      <c r="BH251" s="5">
        <v>-0.34118504995124499</v>
      </c>
      <c r="BI251" s="5">
        <v>0.58856764000972395</v>
      </c>
      <c r="BJ251" s="5">
        <v>-0.237222952118324</v>
      </c>
      <c r="BK251" s="5">
        <v>0.16001383208558601</v>
      </c>
      <c r="BL251" s="5">
        <v>-0.36224080555101601</v>
      </c>
      <c r="BM251" s="5">
        <v>0.41729493630205</v>
      </c>
      <c r="BN251" s="5">
        <v>-2.7088374138654302E-3</v>
      </c>
      <c r="BO251" s="5">
        <v>-8.3260068409064497E-2</v>
      </c>
      <c r="BP251" s="5">
        <v>-4.2082710334339296E-3</v>
      </c>
      <c r="BQ251" s="5">
        <v>-0.150126952348278</v>
      </c>
      <c r="BR251" s="5">
        <v>-0.37347648237013398</v>
      </c>
      <c r="BS251" s="5">
        <v>0.57522197872692504</v>
      </c>
      <c r="BT251" s="5">
        <v>-0.21342545319912501</v>
      </c>
      <c r="BU251" s="5">
        <v>0.483271169850223</v>
      </c>
      <c r="BV251" s="5">
        <v>-0.26119912684463098</v>
      </c>
      <c r="BW251" s="5">
        <v>0.49229939243491799</v>
      </c>
      <c r="BX251" s="5">
        <v>-0.24623346241016</v>
      </c>
      <c r="BY251" s="5">
        <v>0.483035990711565</v>
      </c>
      <c r="BZ251" s="5">
        <v>-0.23997597961027201</v>
      </c>
      <c r="CA251" s="5">
        <v>0.48523423293439499</v>
      </c>
      <c r="CB251" s="5">
        <v>-7.1654875914352795E-2</v>
      </c>
      <c r="CC251" s="5">
        <v>0.22100272191930201</v>
      </c>
      <c r="CD251" s="5">
        <v>-0.152800616898391</v>
      </c>
      <c r="CE251" s="5">
        <v>0.29870884471898501</v>
      </c>
      <c r="CF251" s="5">
        <v>-0.46433106031951399</v>
      </c>
      <c r="CG251" s="5">
        <v>0.60795914271366103</v>
      </c>
      <c r="CH251" s="5">
        <v>0.17882927578404501</v>
      </c>
      <c r="CI251" s="5">
        <v>-0.14586943552241199</v>
      </c>
      <c r="CJ251" s="5">
        <v>0.33769944939755803</v>
      </c>
      <c r="CK251" s="5">
        <v>-0.39835393592384799</v>
      </c>
      <c r="CL251" s="5">
        <v>-0.34641632844269499</v>
      </c>
      <c r="CM251" s="5">
        <v>0.40840805486790299</v>
      </c>
      <c r="CN251" s="5">
        <v>-0.258509563913072</v>
      </c>
      <c r="CO251" s="5">
        <v>0.305812812178824</v>
      </c>
      <c r="CP251" s="5">
        <v>-0.35667341157360899</v>
      </c>
      <c r="CQ251" s="5">
        <v>0.43824536269988701</v>
      </c>
      <c r="CR251" s="5">
        <v>-0.50396587105468904</v>
      </c>
      <c r="CS251" s="5">
        <v>0.65861112141144096</v>
      </c>
      <c r="CT251" s="5">
        <v>-0.235370799098054</v>
      </c>
      <c r="CU251" s="5">
        <v>0.267013521733589</v>
      </c>
      <c r="CV251" s="5">
        <v>-0.339747762113011</v>
      </c>
      <c r="CW251" s="5">
        <v>0.48206728462195703</v>
      </c>
      <c r="CX251" s="5">
        <v>-6.6684131881446396E-2</v>
      </c>
      <c r="CY251" s="5">
        <v>0.20647570973436399</v>
      </c>
      <c r="CZ251" s="5">
        <v>-0.326656811037145</v>
      </c>
      <c r="DA251" s="5">
        <v>0.564920033468154</v>
      </c>
      <c r="DB251" s="5">
        <v>1.90298187085279E-3</v>
      </c>
      <c r="DC251" s="5">
        <v>3.99982294236155E-2</v>
      </c>
      <c r="DD251" s="5">
        <v>-0.30181185469028798</v>
      </c>
      <c r="DE251" s="5">
        <v>0.416974820123578</v>
      </c>
      <c r="DF251" s="5">
        <v>-0.164242156879081</v>
      </c>
      <c r="DG251" s="5">
        <v>0.30029322017721599</v>
      </c>
      <c r="DH251" s="5">
        <v>-0.114101594473921</v>
      </c>
      <c r="DI251" s="5">
        <v>0.17190630017620701</v>
      </c>
      <c r="DJ251" s="5">
        <v>-0.21120344253617099</v>
      </c>
      <c r="DK251" s="5">
        <v>0.24497110803590399</v>
      </c>
      <c r="DL251" s="5">
        <v>-0.26347082354662199</v>
      </c>
      <c r="DM251" s="5">
        <v>0.44902798674303601</v>
      </c>
      <c r="DN251" s="5">
        <v>-0.18205061409029399</v>
      </c>
      <c r="DO251" s="5">
        <v>0.206909622409122</v>
      </c>
      <c r="DP251" s="5">
        <v>0.20771052719241301</v>
      </c>
      <c r="DQ251" s="5">
        <v>-0.18040319849486</v>
      </c>
      <c r="DR251" s="5">
        <v>-0.135220163528634</v>
      </c>
      <c r="DS251" s="5">
        <v>0.16820811947020101</v>
      </c>
      <c r="DT251" s="5">
        <v>-4.6306270884030297E-2</v>
      </c>
      <c r="DU251" s="5">
        <v>0.10994744131337</v>
      </c>
      <c r="DV251" s="5">
        <v>-0.26459541091866001</v>
      </c>
      <c r="DW251" s="5">
        <v>0.47394887889747001</v>
      </c>
      <c r="DX251" s="5">
        <v>-9.8609641108272097E-2</v>
      </c>
      <c r="DY251" s="5">
        <v>0.10961055183761</v>
      </c>
      <c r="DZ251" s="5">
        <v>-0.25119391344176101</v>
      </c>
      <c r="EA251" s="5">
        <v>0.34161930959376602</v>
      </c>
      <c r="EB251" s="5">
        <v>-0.36829208170070099</v>
      </c>
      <c r="EC251" s="5">
        <v>0.55815976288254499</v>
      </c>
      <c r="ED251" s="5">
        <v>-0.35149455787627298</v>
      </c>
      <c r="EE251" s="5">
        <v>0.57146425999271999</v>
      </c>
      <c r="EF251" s="5">
        <v>-0.53594276513358396</v>
      </c>
      <c r="EG251" s="5">
        <v>0.67324931982877201</v>
      </c>
      <c r="EH251" s="5">
        <v>-0.32465884921480698</v>
      </c>
      <c r="EI251" s="5">
        <v>0.53219593990618397</v>
      </c>
      <c r="EJ251" s="5">
        <v>-0.34126455443136899</v>
      </c>
      <c r="EK251" s="5">
        <v>0.57382271773830595</v>
      </c>
      <c r="EL251" s="5">
        <v>-0.24650133689129999</v>
      </c>
      <c r="EM251" s="5">
        <v>0.46181270068886299</v>
      </c>
      <c r="EN251" s="5">
        <v>0.34338511463528298</v>
      </c>
      <c r="EO251" s="5">
        <v>-0.44862875469651797</v>
      </c>
      <c r="EP251" s="5">
        <v>-0.45697435553307297</v>
      </c>
      <c r="EQ251" s="5">
        <v>0.62244017716001698</v>
      </c>
      <c r="ER251" s="5">
        <v>-0.14078005019346601</v>
      </c>
      <c r="ES251" s="5">
        <v>0.31621922198554703</v>
      </c>
      <c r="ET251" s="5">
        <v>-0.39104228009290798</v>
      </c>
      <c r="EU251" s="5">
        <v>0.65944772361133497</v>
      </c>
      <c r="EV251" s="5">
        <v>-0.25951122879442601</v>
      </c>
      <c r="EW251" s="5">
        <v>0.49656516238389198</v>
      </c>
      <c r="EX251" s="5">
        <v>-0.103150982975745</v>
      </c>
      <c r="EY251" s="5">
        <v>0.31779506531775598</v>
      </c>
      <c r="EZ251" s="5">
        <v>-0.145575054937055</v>
      </c>
      <c r="FA251" s="5">
        <v>0.31840778051393898</v>
      </c>
      <c r="FB251" s="5">
        <v>-0.14541895154359699</v>
      </c>
      <c r="FC251" s="5">
        <v>0.16313936864064399</v>
      </c>
      <c r="FD251" s="5">
        <v>-0.132730370155523</v>
      </c>
      <c r="FE251" s="5">
        <v>0.28492214661688597</v>
      </c>
      <c r="FF251" s="5">
        <v>-0.17636377224652</v>
      </c>
      <c r="FG251" s="5">
        <v>0.19612517093237899</v>
      </c>
      <c r="FH251" s="5">
        <v>0.12134567315125699</v>
      </c>
      <c r="FI251" s="5">
        <v>-6.6295704559728802E-2</v>
      </c>
      <c r="FJ251" s="5">
        <v>-0.26305057581532598</v>
      </c>
      <c r="FK251" s="5">
        <v>0.42716981982791202</v>
      </c>
      <c r="FL251" s="5">
        <v>6.2746284401782496E-2</v>
      </c>
      <c r="FM251" s="5">
        <v>-9.2363958526339898E-2</v>
      </c>
      <c r="FN251" s="5">
        <v>-3.9559520170679402E-2</v>
      </c>
      <c r="FO251" s="5">
        <v>6.0364008352359597E-2</v>
      </c>
      <c r="FP251" s="5">
        <v>5.90365053087505E-2</v>
      </c>
      <c r="FQ251" s="5">
        <v>-7.5411393812166203E-2</v>
      </c>
      <c r="FR251" s="5">
        <v>0.217992210421942</v>
      </c>
      <c r="FS251" s="5">
        <v>-0.282244344251045</v>
      </c>
      <c r="FT251" s="5">
        <v>8.5994711212176098E-2</v>
      </c>
      <c r="FU251" s="5">
        <v>-0.10348457198167101</v>
      </c>
      <c r="FV251" s="5">
        <v>-1.65590804113687E-2</v>
      </c>
      <c r="FW251" s="5">
        <v>-5.8350090414702096E-3</v>
      </c>
      <c r="FX251" s="5">
        <v>-0.178392804314738</v>
      </c>
      <c r="FY251" s="5">
        <v>0.32753794295922001</v>
      </c>
      <c r="FZ251" s="5">
        <v>2.07987985201693E-2</v>
      </c>
      <c r="GA251" s="5">
        <v>-2.1656246896931901E-2</v>
      </c>
      <c r="GB251" s="5">
        <v>-0.14110633729355701</v>
      </c>
      <c r="GC251" s="5">
        <v>0.172123812098987</v>
      </c>
      <c r="GD251" s="5">
        <v>-0.14056802771122701</v>
      </c>
      <c r="GE251" s="5">
        <v>0.1394335417083</v>
      </c>
      <c r="GF251" s="5">
        <v>-0.15035174447619301</v>
      </c>
      <c r="GG251" s="5">
        <v>0.40374057639653699</v>
      </c>
      <c r="GH251" s="5">
        <v>0.19929159471104799</v>
      </c>
      <c r="GI251" s="5">
        <v>-0.35827707764134298</v>
      </c>
      <c r="GJ251" s="5">
        <v>-0.15972823371626199</v>
      </c>
      <c r="GK251" s="5">
        <v>0.35430687334784999</v>
      </c>
      <c r="GL251" s="5">
        <v>-0.54326237566947</v>
      </c>
      <c r="GM251" s="5">
        <v>0.65750085301868799</v>
      </c>
      <c r="GN251" s="5">
        <v>-8.7352803468561002E-2</v>
      </c>
      <c r="GO251" s="5">
        <v>0.1142299644306</v>
      </c>
      <c r="GP251" s="5">
        <v>-7.0222973408157904E-2</v>
      </c>
      <c r="GQ251" s="5">
        <v>0.12572333880168299</v>
      </c>
      <c r="GR251" s="5">
        <v>-0.181071474691163</v>
      </c>
      <c r="GS251" s="5">
        <v>0.37464414625722298</v>
      </c>
      <c r="GT251" s="5">
        <v>9.0407430205914296E-2</v>
      </c>
      <c r="GU251" s="5">
        <v>-0.185285819350305</v>
      </c>
      <c r="GV251" s="5">
        <v>-0.30834226091093297</v>
      </c>
      <c r="GW251" s="5">
        <v>0.58348641043580696</v>
      </c>
      <c r="GX251" s="5">
        <v>3.8754112209282501E-2</v>
      </c>
      <c r="GY251" s="5">
        <v>2.9817591991386401E-2</v>
      </c>
      <c r="GZ251" s="5">
        <v>-0.38356488813112699</v>
      </c>
      <c r="HA251" s="5">
        <v>0.43859857239087202</v>
      </c>
      <c r="HB251" s="5">
        <v>-0.212907075031597</v>
      </c>
      <c r="HC251" s="5">
        <v>0.48690175372299899</v>
      </c>
      <c r="HD251" s="5">
        <v>-0.20318626783580199</v>
      </c>
      <c r="HE251" s="5">
        <v>0.31597846793725198</v>
      </c>
      <c r="HF251" s="5">
        <v>-0.24439093517506799</v>
      </c>
      <c r="HG251" s="5">
        <v>0.28012754979570498</v>
      </c>
      <c r="HH251" s="5">
        <v>-0.21369317977232899</v>
      </c>
      <c r="HI251" s="5">
        <v>0.25343675377597202</v>
      </c>
      <c r="HJ251" s="5">
        <v>-0.23738146484054801</v>
      </c>
      <c r="HK251" s="5">
        <v>0.27140047301657499</v>
      </c>
      <c r="HL251" s="5">
        <v>-0.17003015201642099</v>
      </c>
      <c r="HM251" s="5">
        <v>0.31890198522084301</v>
      </c>
      <c r="HN251" s="5">
        <v>-0.18846324055118199</v>
      </c>
      <c r="HO251" s="5">
        <v>0.23751807524698601</v>
      </c>
      <c r="HP251" s="5">
        <v>9.0995974536531798E-2</v>
      </c>
      <c r="HQ251" s="5">
        <v>8.3596689118882905E-2</v>
      </c>
      <c r="HR251" s="5">
        <v>-8.2281145172662495E-2</v>
      </c>
      <c r="HS251" s="5">
        <v>0.26647194313741901</v>
      </c>
      <c r="HT251" s="5">
        <v>-0.163754079605299</v>
      </c>
      <c r="HU251" s="5">
        <v>0.180885261945261</v>
      </c>
      <c r="HV251" s="5">
        <v>-0.12118264635953301</v>
      </c>
      <c r="HW251" s="5">
        <v>0.29056772783677498</v>
      </c>
      <c r="HX251" s="5">
        <v>-9.5880175031572895E-2</v>
      </c>
      <c r="HY251" s="5">
        <v>0.30395858354331201</v>
      </c>
      <c r="HZ251" s="5">
        <v>-0.35135576590068002</v>
      </c>
      <c r="IA251" s="5">
        <v>0.426416454789664</v>
      </c>
      <c r="IB251" s="5">
        <v>4.6483571403065901E-2</v>
      </c>
      <c r="IC251" s="5">
        <v>-0.11597608391084401</v>
      </c>
      <c r="ID251" s="5">
        <v>-0.24810731448117501</v>
      </c>
      <c r="IE251" s="5">
        <v>0.51054810515534599</v>
      </c>
      <c r="IF251" s="5">
        <v>-0.136517769541635</v>
      </c>
      <c r="IG251" s="5">
        <v>0.30212811646033599</v>
      </c>
      <c r="IH251" s="5">
        <v>-0.49341840303899198</v>
      </c>
      <c r="II251" s="5">
        <v>0.65708775664905295</v>
      </c>
      <c r="IJ251" s="5">
        <v>-3.2858618266285597E-2</v>
      </c>
      <c r="IK251" s="5">
        <v>7.2539886840594398E-2</v>
      </c>
      <c r="IL251" s="5">
        <v>-1.6994497896577199E-2</v>
      </c>
      <c r="IM251" s="5">
        <v>0.17720324592571601</v>
      </c>
      <c r="IN251" s="5">
        <v>-6.44242511023565E-2</v>
      </c>
      <c r="IO251" s="5">
        <v>0.244231699120975</v>
      </c>
      <c r="IP251" s="5">
        <v>-0.72963971794190596</v>
      </c>
      <c r="IQ251" s="5">
        <v>1</v>
      </c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</row>
    <row r="252" spans="1:389" x14ac:dyDescent="0.45">
      <c r="A252" s="4" t="str">
        <f ca="1">"NCL / beta1dist in "&amp;CELL("address",'damages-1990'!$J$127)</f>
        <v>NCL / beta1dist in '[BHM betas v3pd.xlsx]damages-1990'!$J$127</v>
      </c>
      <c r="B252" s="6">
        <v>0.18711972519085401</v>
      </c>
      <c r="C252" s="5">
        <v>0.108446303391229</v>
      </c>
      <c r="D252" s="5">
        <v>0.15181100477725001</v>
      </c>
      <c r="E252" s="5">
        <v>0.17733426408312999</v>
      </c>
      <c r="F252" s="5">
        <v>0.149332853035821</v>
      </c>
      <c r="G252" s="5">
        <v>4.54701020103691E-2</v>
      </c>
      <c r="H252" s="5">
        <v>-0.139858053063107</v>
      </c>
      <c r="I252" s="5">
        <v>0.168427307086396</v>
      </c>
      <c r="J252" s="5">
        <v>0.27054220313444999</v>
      </c>
      <c r="K252" s="5">
        <v>-7.1858397409521298E-3</v>
      </c>
      <c r="L252" s="5">
        <v>0.36141008976398997</v>
      </c>
      <c r="M252" s="5">
        <v>-0.18890943111101399</v>
      </c>
      <c r="N252" s="5">
        <v>-3.7846433228411198E-2</v>
      </c>
      <c r="O252" s="5">
        <v>7.8532464809607197E-2</v>
      </c>
      <c r="P252" s="5">
        <v>-2.5536531166220101E-2</v>
      </c>
      <c r="Q252" s="5">
        <v>0.24403659684693799</v>
      </c>
      <c r="R252" s="5">
        <v>0.12532102759386199</v>
      </c>
      <c r="S252" s="5">
        <v>0.25649052100313002</v>
      </c>
      <c r="T252" s="5">
        <v>-0.15456200463616601</v>
      </c>
      <c r="U252" s="5">
        <v>0.220392444987451</v>
      </c>
      <c r="V252" s="5">
        <v>0.119025123261255</v>
      </c>
      <c r="W252" s="5">
        <v>0.208580584414611</v>
      </c>
      <c r="X252" s="5">
        <v>6.4128078663914401E-2</v>
      </c>
      <c r="Y252" s="5">
        <v>0.231209001264047</v>
      </c>
      <c r="Z252" s="5">
        <v>-4.8209008799571497E-2</v>
      </c>
      <c r="AA252" s="5">
        <v>0.18692116441936699</v>
      </c>
      <c r="AB252" s="5">
        <v>0.14329577107701999</v>
      </c>
      <c r="AC252" s="5">
        <v>8.2265945726291007E-2</v>
      </c>
      <c r="AD252" s="5">
        <v>0.11329745462523701</v>
      </c>
      <c r="AE252" s="5">
        <v>0.13180266238031299</v>
      </c>
      <c r="AF252" s="5">
        <v>0.223784540697051</v>
      </c>
      <c r="AG252" s="5">
        <v>2.1085855975163902E-2</v>
      </c>
      <c r="AH252" s="5">
        <v>9.35599680185661E-2</v>
      </c>
      <c r="AI252" s="5">
        <v>8.0024492297272501E-2</v>
      </c>
      <c r="AJ252" s="5">
        <v>0.33328918479442399</v>
      </c>
      <c r="AK252" s="5">
        <v>-5.4304762860105098E-2</v>
      </c>
      <c r="AL252" s="5">
        <v>0.38262469197651</v>
      </c>
      <c r="AM252" s="5">
        <v>-0.30195218856341399</v>
      </c>
      <c r="AN252" s="5">
        <v>6.9537834004609498E-3</v>
      </c>
      <c r="AO252" s="5">
        <v>0.12255534247663299</v>
      </c>
      <c r="AP252" s="5">
        <v>-0.23602075107230999</v>
      </c>
      <c r="AQ252" s="5">
        <v>0.34291401254292198</v>
      </c>
      <c r="AR252" s="5">
        <v>0.31457090356032102</v>
      </c>
      <c r="AS252" s="5">
        <v>-0.102043943412249</v>
      </c>
      <c r="AT252" s="5">
        <v>0.65249922476615096</v>
      </c>
      <c r="AU252" s="5">
        <v>-0.62824869193466604</v>
      </c>
      <c r="AV252" s="5">
        <v>0.22777522237604</v>
      </c>
      <c r="AW252" s="5">
        <v>0.101628959824761</v>
      </c>
      <c r="AX252" s="5">
        <v>0.19968767625598999</v>
      </c>
      <c r="AY252" s="5">
        <v>7.9275904490140298E-2</v>
      </c>
      <c r="AZ252" s="5">
        <v>-1.6682006809960501E-2</v>
      </c>
      <c r="BA252" s="5">
        <v>0.18591168890557699</v>
      </c>
      <c r="BB252" s="5">
        <v>4.62028481211239E-2</v>
      </c>
      <c r="BC252" s="5">
        <v>0.324909224060621</v>
      </c>
      <c r="BD252" s="5">
        <v>9.7534600561205997E-2</v>
      </c>
      <c r="BE252" s="5">
        <v>0.204436152171597</v>
      </c>
      <c r="BF252" s="5">
        <v>0.230557846294662</v>
      </c>
      <c r="BG252" s="5">
        <v>5.3589354438091298E-2</v>
      </c>
      <c r="BH252" s="5">
        <v>0.147025198055656</v>
      </c>
      <c r="BI252" s="5">
        <v>0.15516575536813301</v>
      </c>
      <c r="BJ252" s="5">
        <v>-2.7114151176968599E-2</v>
      </c>
      <c r="BK252" s="5">
        <v>-0.127524338347207</v>
      </c>
      <c r="BL252" s="5">
        <v>-0.176928421961452</v>
      </c>
      <c r="BM252" s="5">
        <v>0.234540911592239</v>
      </c>
      <c r="BN252" s="5">
        <v>9.5927222530524502E-3</v>
      </c>
      <c r="BO252" s="5">
        <v>7.6890823914038106E-2</v>
      </c>
      <c r="BP252" s="5">
        <v>-0.108523490857918</v>
      </c>
      <c r="BQ252" s="5">
        <v>0.240941699663657</v>
      </c>
      <c r="BR252" s="5">
        <v>0.102127544527949</v>
      </c>
      <c r="BS252" s="5">
        <v>0.12190330458894599</v>
      </c>
      <c r="BT252" s="5">
        <v>0.233088698870074</v>
      </c>
      <c r="BU252" s="5">
        <v>8.0716567375112402E-2</v>
      </c>
      <c r="BV252" s="5">
        <v>0.137253855003621</v>
      </c>
      <c r="BW252" s="5">
        <v>0.147416484854827</v>
      </c>
      <c r="BX252" s="5">
        <v>7.8483879928988504E-2</v>
      </c>
      <c r="BY252" s="5">
        <v>0.17042564066994301</v>
      </c>
      <c r="BZ252" s="5">
        <v>7.7758864555657906E-2</v>
      </c>
      <c r="CA252" s="5">
        <v>0.190038069007856</v>
      </c>
      <c r="CB252" s="5">
        <v>0.18038981508183799</v>
      </c>
      <c r="CC252" s="5">
        <v>6.7434581548587003E-2</v>
      </c>
      <c r="CD252" s="5">
        <v>9.7627875544682802E-2</v>
      </c>
      <c r="CE252" s="5">
        <v>9.9926854665277606E-2</v>
      </c>
      <c r="CF252" s="5">
        <v>6.1746331176267502E-2</v>
      </c>
      <c r="CG252" s="5">
        <v>0.102284595270921</v>
      </c>
      <c r="CH252" s="5">
        <v>0.388931767405088</v>
      </c>
      <c r="CI252" s="5">
        <v>-0.331900039266249</v>
      </c>
      <c r="CJ252" s="5">
        <v>0.155593656124622</v>
      </c>
      <c r="CK252" s="5">
        <v>9.6426856132733996E-2</v>
      </c>
      <c r="CL252" s="5">
        <v>-0.12745983113589801</v>
      </c>
      <c r="CM252" s="5">
        <v>0.224551903619397</v>
      </c>
      <c r="CN252" s="5">
        <v>-0.11078952524732801</v>
      </c>
      <c r="CO252" s="5">
        <v>0.23569060898025801</v>
      </c>
      <c r="CP252" s="5">
        <v>4.32800285258782E-2</v>
      </c>
      <c r="CQ252" s="5">
        <v>0.12667641500207399</v>
      </c>
      <c r="CR252" s="5">
        <v>-4.5675201614129197E-2</v>
      </c>
      <c r="CS252" s="5">
        <v>0.25912858133913402</v>
      </c>
      <c r="CT252" s="5">
        <v>-0.15755864568742101</v>
      </c>
      <c r="CU252" s="5">
        <v>0.232470630591016</v>
      </c>
      <c r="CV252" s="5">
        <v>1.26289443900329E-2</v>
      </c>
      <c r="CW252" s="5">
        <v>0.182913952221086</v>
      </c>
      <c r="CX252" s="5">
        <v>0.3106793365469</v>
      </c>
      <c r="CY252" s="5">
        <v>-4.4889724732710599E-2</v>
      </c>
      <c r="CZ252" s="5">
        <v>1.9396903976135398E-2</v>
      </c>
      <c r="DA252" s="5">
        <v>0.24051558294362499</v>
      </c>
      <c r="DB252" s="5">
        <v>0.247855968606574</v>
      </c>
      <c r="DC252" s="5">
        <v>5.7323938442097301E-2</v>
      </c>
      <c r="DD252" s="5">
        <v>4.4387509833737598E-2</v>
      </c>
      <c r="DE252" s="5">
        <v>0.187689333166556</v>
      </c>
      <c r="DF252" s="5">
        <v>0.248033973817161</v>
      </c>
      <c r="DG252" s="5">
        <v>7.2458200727458797E-3</v>
      </c>
      <c r="DH252" s="5">
        <v>0.217394328159801</v>
      </c>
      <c r="DI252" s="5">
        <v>4.2106583858128599E-2</v>
      </c>
      <c r="DJ252" s="5">
        <v>-0.19737347919068801</v>
      </c>
      <c r="DK252" s="5">
        <v>0.26933991970256699</v>
      </c>
      <c r="DL252" s="5">
        <v>0.129284302386763</v>
      </c>
      <c r="DM252" s="5">
        <v>0.16742275047723701</v>
      </c>
      <c r="DN252" s="5">
        <v>-0.23110924180848899</v>
      </c>
      <c r="DO252" s="5">
        <v>0.27045869989971</v>
      </c>
      <c r="DP252" s="5">
        <v>0.45977795095082902</v>
      </c>
      <c r="DQ252" s="5">
        <v>-0.30276782089625698</v>
      </c>
      <c r="DR252" s="5">
        <v>8.3012493655382505E-2</v>
      </c>
      <c r="DS252" s="5">
        <v>9.1615711065241398E-2</v>
      </c>
      <c r="DT252" s="5">
        <v>0.166394432266676</v>
      </c>
      <c r="DU252" s="5">
        <v>-3.9175409899683301E-2</v>
      </c>
      <c r="DV252" s="5">
        <v>-1.48656981607779E-2</v>
      </c>
      <c r="DW252" s="5">
        <v>0.244706055144012</v>
      </c>
      <c r="DX252" s="5">
        <v>-0.133449323233505</v>
      </c>
      <c r="DY252" s="5">
        <v>0.22574122597638099</v>
      </c>
      <c r="DZ252" s="5">
        <v>-1.8188280641951601E-2</v>
      </c>
      <c r="EA252" s="5">
        <v>9.9057738636257997E-2</v>
      </c>
      <c r="EB252" s="5">
        <v>0.14436288708939099</v>
      </c>
      <c r="EC252" s="5">
        <v>9.6187079003708306E-2</v>
      </c>
      <c r="ED252" s="5">
        <v>0.17948821094054701</v>
      </c>
      <c r="EE252" s="5">
        <v>7.8221592791669806E-2</v>
      </c>
      <c r="EF252" s="5">
        <v>-4.8873736758300097E-2</v>
      </c>
      <c r="EG252" s="5">
        <v>0.25403119598526502</v>
      </c>
      <c r="EH252" s="5">
        <v>0.21599710252292301</v>
      </c>
      <c r="EI252" s="5">
        <v>2.85694996054063E-2</v>
      </c>
      <c r="EJ252" s="5">
        <v>0.26741572119380103</v>
      </c>
      <c r="EK252" s="5">
        <v>-1.41718957402415E-2</v>
      </c>
      <c r="EL252" s="5">
        <v>0.19696427415648299</v>
      </c>
      <c r="EM252" s="5">
        <v>7.0868314982081099E-2</v>
      </c>
      <c r="EN252" s="5">
        <v>0.24221797503991699</v>
      </c>
      <c r="EO252" s="5">
        <v>-5.5027748526699401E-2</v>
      </c>
      <c r="EP252" s="5">
        <v>-3.1665046209245502E-3</v>
      </c>
      <c r="EQ252" s="5">
        <v>0.18050011700787999</v>
      </c>
      <c r="ER252" s="5">
        <v>0.30914492524020898</v>
      </c>
      <c r="ES252" s="5">
        <v>-6.6086583643587896E-2</v>
      </c>
      <c r="ET252" s="5">
        <v>0.171834730458997</v>
      </c>
      <c r="EU252" s="5">
        <v>3.6675738549462697E-2</v>
      </c>
      <c r="EV252" s="5">
        <v>0.218314050030918</v>
      </c>
      <c r="EW252" s="5">
        <v>2.20539445749591E-2</v>
      </c>
      <c r="EX252" s="5">
        <v>0.202416446017292</v>
      </c>
      <c r="EY252" s="5">
        <v>2.1386324035058801E-2</v>
      </c>
      <c r="EZ252" s="5">
        <v>0.28677040113321001</v>
      </c>
      <c r="FA252" s="5">
        <v>-3.5936432619482102E-2</v>
      </c>
      <c r="FB252" s="5">
        <v>0.13057491996206</v>
      </c>
      <c r="FC252" s="5">
        <v>3.23070058170426E-2</v>
      </c>
      <c r="FD252" s="5">
        <v>0.14130502254719099</v>
      </c>
      <c r="FE252" s="5">
        <v>6.2831536729014398E-2</v>
      </c>
      <c r="FF252" s="5">
        <v>6.5306316749734694E-2</v>
      </c>
      <c r="FG252" s="5">
        <v>8.6453420629403296E-2</v>
      </c>
      <c r="FH252" s="5">
        <v>0.342893303383346</v>
      </c>
      <c r="FI252" s="5">
        <v>-0.146568995699595</v>
      </c>
      <c r="FJ252" s="5">
        <v>0.26629136995962699</v>
      </c>
      <c r="FK252" s="5">
        <v>2.6668016057934899E-2</v>
      </c>
      <c r="FL252" s="5">
        <v>-8.4013515250245793E-2</v>
      </c>
      <c r="FM252" s="5">
        <v>0.16349713438108601</v>
      </c>
      <c r="FN252" s="5">
        <v>0.21435540888521101</v>
      </c>
      <c r="FO252" s="5">
        <v>5.5666483127965301E-2</v>
      </c>
      <c r="FP252" s="5">
        <v>0.19476122859311301</v>
      </c>
      <c r="FQ252" s="5">
        <v>6.1510981185401797E-2</v>
      </c>
      <c r="FR252" s="5">
        <v>0.17428663616380499</v>
      </c>
      <c r="FS252" s="5">
        <v>-0.15404367212682701</v>
      </c>
      <c r="FT252" s="5">
        <v>0.216361770795858</v>
      </c>
      <c r="FU252" s="5">
        <v>0.110598747203589</v>
      </c>
      <c r="FV252" s="5">
        <v>0.23493642179228799</v>
      </c>
      <c r="FW252" s="5">
        <v>-6.5205387967988498E-2</v>
      </c>
      <c r="FX252" s="5">
        <v>0.219142355042304</v>
      </c>
      <c r="FY252" s="5">
        <v>-6.2915775772846599E-2</v>
      </c>
      <c r="FZ252" s="5">
        <v>0.179012011867933</v>
      </c>
      <c r="GA252" s="5">
        <v>0.16820263297035201</v>
      </c>
      <c r="GB252" s="5">
        <v>1.93083489340043E-2</v>
      </c>
      <c r="GC252" s="5">
        <v>0.24743352403681801</v>
      </c>
      <c r="GD252" s="5">
        <v>-0.12398843949975</v>
      </c>
      <c r="GE252" s="5">
        <v>0.171245007545273</v>
      </c>
      <c r="GF252" s="5">
        <v>0.236825104414504</v>
      </c>
      <c r="GG252" s="5">
        <v>6.5735606714853803E-2</v>
      </c>
      <c r="GH252" s="5">
        <v>-3.6692396211693901E-2</v>
      </c>
      <c r="GI252" s="5">
        <v>-3.8260891585512602E-2</v>
      </c>
      <c r="GJ252" s="5">
        <v>0.25906511059338999</v>
      </c>
      <c r="GK252" s="5">
        <v>-6.5448031911610305E-2</v>
      </c>
      <c r="GL252" s="5">
        <v>-5.8524834551159699E-2</v>
      </c>
      <c r="GM252" s="5">
        <v>0.260701652230446</v>
      </c>
      <c r="GN252" s="5">
        <v>0.14509263640015199</v>
      </c>
      <c r="GO252" s="5">
        <v>0.100480428516733</v>
      </c>
      <c r="GP252" s="5">
        <v>0.21733012343962499</v>
      </c>
      <c r="GQ252" s="5">
        <v>5.4629338039002703E-2</v>
      </c>
      <c r="GR252" s="5">
        <v>0.200078877367485</v>
      </c>
      <c r="GS252" s="5">
        <v>-1.02794530857579E-2</v>
      </c>
      <c r="GT252" s="5">
        <v>0.13541545614690501</v>
      </c>
      <c r="GU252" s="5">
        <v>0.15209633956016799</v>
      </c>
      <c r="GV252" s="5">
        <v>0.131882158186691</v>
      </c>
      <c r="GW252" s="5">
        <v>0.10319312267488299</v>
      </c>
      <c r="GX252" s="5">
        <v>0.28652214558775502</v>
      </c>
      <c r="GY252" s="5">
        <v>-6.8178912901447494E-2</v>
      </c>
      <c r="GZ252" s="5">
        <v>-0.186473177618908</v>
      </c>
      <c r="HA252" s="5">
        <v>0.241275876060111</v>
      </c>
      <c r="HB252" s="5">
        <v>0.18929507759846401</v>
      </c>
      <c r="HC252" s="5">
        <v>0.13257578072238699</v>
      </c>
      <c r="HD252" s="5">
        <v>0.105146310575935</v>
      </c>
      <c r="HE252" s="5">
        <v>0.21762656653854001</v>
      </c>
      <c r="HF252" s="5">
        <v>-0.216274859096803</v>
      </c>
      <c r="HG252" s="5">
        <v>0.31154235555703302</v>
      </c>
      <c r="HH252" s="5">
        <v>-7.6823523884266998E-2</v>
      </c>
      <c r="HI252" s="5">
        <v>0.20894060076672699</v>
      </c>
      <c r="HJ252" s="5">
        <v>-0.22304099175292399</v>
      </c>
      <c r="HK252" s="5">
        <v>0.30294806420222498</v>
      </c>
      <c r="HL252" s="5">
        <v>0.281221431540702</v>
      </c>
      <c r="HM252" s="5">
        <v>1.03870093941785E-2</v>
      </c>
      <c r="HN252" s="5">
        <v>-6.37156317787095E-3</v>
      </c>
      <c r="HO252" s="5">
        <v>0.185342531028233</v>
      </c>
      <c r="HP252" s="5">
        <v>0.42529390110875098</v>
      </c>
      <c r="HQ252" s="5">
        <v>-0.14201516190529401</v>
      </c>
      <c r="HR252" s="5">
        <v>0.36360394905093002</v>
      </c>
      <c r="HS252" s="5">
        <v>-8.7329605172605601E-2</v>
      </c>
      <c r="HT252" s="5">
        <v>6.0855701528084699E-2</v>
      </c>
      <c r="HU252" s="5">
        <v>0.10674173739256899</v>
      </c>
      <c r="HV252" s="5">
        <v>0.219828465795749</v>
      </c>
      <c r="HW252" s="5">
        <v>4.1295609472402302E-2</v>
      </c>
      <c r="HX252" s="5">
        <v>0.23746877135222</v>
      </c>
      <c r="HY252" s="5">
        <v>2.53733832586816E-2</v>
      </c>
      <c r="HZ252" s="5">
        <v>-3.3578324593400002E-2</v>
      </c>
      <c r="IA252" s="5">
        <v>0.14049581270863201</v>
      </c>
      <c r="IB252" s="5">
        <v>-0.22396355598770001</v>
      </c>
      <c r="IC252" s="5">
        <v>0.179829382887293</v>
      </c>
      <c r="ID252" s="5">
        <v>0.17755546806196201</v>
      </c>
      <c r="IE252" s="5">
        <v>0.194472362247639</v>
      </c>
      <c r="IF252" s="5">
        <v>0.26700661962351002</v>
      </c>
      <c r="IG252" s="5">
        <v>-3.3002655648493502E-3</v>
      </c>
      <c r="IH252" s="5">
        <v>-3.82166244705371E-2</v>
      </c>
      <c r="II252" s="5">
        <v>0.240817221256866</v>
      </c>
      <c r="IJ252" s="5">
        <v>0.34043742567067298</v>
      </c>
      <c r="IK252" s="5">
        <v>-0.28990314201640999</v>
      </c>
      <c r="IL252" s="5">
        <v>0.167983118062693</v>
      </c>
      <c r="IM252" s="5">
        <v>0.189372774257481</v>
      </c>
      <c r="IN252" s="5">
        <v>0.177055857256365</v>
      </c>
      <c r="IO252" s="5">
        <v>0.13056285897858599</v>
      </c>
      <c r="IP252" s="5">
        <v>0.16227665243394301</v>
      </c>
      <c r="IQ252" s="5">
        <v>0.193601662399976</v>
      </c>
      <c r="IR252" s="5">
        <v>1</v>
      </c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</row>
    <row r="253" spans="1:389" x14ac:dyDescent="0.45">
      <c r="A253" s="4" t="str">
        <f ca="1">"NCL / beta2dist in "&amp;CELL("address",'damages-1990'!$K$127)</f>
        <v>NCL / beta2dist in '[BHM betas v3pd.xlsx]damages-1990'!$K$127</v>
      </c>
      <c r="B253" s="6">
        <v>-5.8177612714251301E-2</v>
      </c>
      <c r="C253" s="5">
        <v>7.5186192170182298E-2</v>
      </c>
      <c r="D253" s="5">
        <v>9.9168520060916504E-2</v>
      </c>
      <c r="E253" s="5">
        <v>-0.118976475075162</v>
      </c>
      <c r="F253" s="5">
        <v>-2.92844281967777E-2</v>
      </c>
      <c r="G253" s="5">
        <v>3.6971467813184E-2</v>
      </c>
      <c r="H253" s="5">
        <v>1.6744934762025401E-2</v>
      </c>
      <c r="I253" s="5">
        <v>-7.0016238914293899E-2</v>
      </c>
      <c r="J253" s="5">
        <v>-2.7242829118544601E-2</v>
      </c>
      <c r="K253" s="5">
        <v>5.8015069514473702E-2</v>
      </c>
      <c r="L253" s="5">
        <v>-0.12981238849635601</v>
      </c>
      <c r="M253" s="5">
        <v>0.234922238614517</v>
      </c>
      <c r="N253" s="5">
        <v>2.5220076683682702E-2</v>
      </c>
      <c r="O253" s="5">
        <v>-2.6191630096816899E-2</v>
      </c>
      <c r="P253" s="5">
        <v>0.104682251198486</v>
      </c>
      <c r="Q253" s="5">
        <v>-0.162992092072614</v>
      </c>
      <c r="R253" s="5">
        <v>0.215122707302106</v>
      </c>
      <c r="S253" s="5">
        <v>-0.307267527961405</v>
      </c>
      <c r="T253" s="5">
        <v>4.4896181016717697E-2</v>
      </c>
      <c r="U253" s="5">
        <v>-8.1382212560910702E-2</v>
      </c>
      <c r="V253" s="5">
        <v>5.1393275990492301E-2</v>
      </c>
      <c r="W253" s="5">
        <v>-0.101700583078005</v>
      </c>
      <c r="X253" s="5">
        <v>0.18354463879170099</v>
      </c>
      <c r="Y253" s="5">
        <v>-0.1818991796777</v>
      </c>
      <c r="Z253" s="5">
        <v>4.6237665396191403E-2</v>
      </c>
      <c r="AA253" s="5">
        <v>-9.2505795463691601E-2</v>
      </c>
      <c r="AB253" s="5">
        <v>8.7808742062287407E-2</v>
      </c>
      <c r="AC253" s="5">
        <v>-7.4593636972507898E-2</v>
      </c>
      <c r="AD253" s="5">
        <v>7.7748241531914897E-2</v>
      </c>
      <c r="AE253" s="5">
        <v>-7.4559642854184399E-2</v>
      </c>
      <c r="AF253" s="5">
        <v>-1.52142621495507E-3</v>
      </c>
      <c r="AG253" s="5">
        <v>1.6199498895347698E-2</v>
      </c>
      <c r="AH253" s="5">
        <v>-8.8212205295475701E-3</v>
      </c>
      <c r="AI253" s="5">
        <v>9.3470152665871206E-3</v>
      </c>
      <c r="AJ253" s="5">
        <v>-9.6321663999043197E-2</v>
      </c>
      <c r="AK253" s="5">
        <v>9.6670984830577497E-2</v>
      </c>
      <c r="AL253" s="5">
        <v>-7.5455819883424202E-2</v>
      </c>
      <c r="AM253" s="5">
        <v>0.14501722567113101</v>
      </c>
      <c r="AN253" s="5">
        <v>-9.8308242422820297E-3</v>
      </c>
      <c r="AO253" s="5">
        <v>-5.7568908846520302E-3</v>
      </c>
      <c r="AP253" s="5">
        <v>0.17992690751553</v>
      </c>
      <c r="AQ253" s="5">
        <v>-0.25837363566726401</v>
      </c>
      <c r="AR253" s="5">
        <v>-1.8789710379479199E-2</v>
      </c>
      <c r="AS253" s="5">
        <v>3.1629816038250998E-2</v>
      </c>
      <c r="AT253" s="5">
        <v>-0.43256674750351698</v>
      </c>
      <c r="AU253" s="5">
        <v>0.58349178413160596</v>
      </c>
      <c r="AV253" s="5">
        <v>0.150527960881572</v>
      </c>
      <c r="AW253" s="5">
        <v>-0.198889493795366</v>
      </c>
      <c r="AX253" s="5">
        <v>0.143229240319796</v>
      </c>
      <c r="AY253" s="5">
        <v>-0.133841302020164</v>
      </c>
      <c r="AZ253" s="5">
        <v>0.113756504682101</v>
      </c>
      <c r="BA253" s="5">
        <v>-0.132456815454496</v>
      </c>
      <c r="BB253" s="5">
        <v>0.20710412789832</v>
      </c>
      <c r="BC253" s="5">
        <v>-0.26962406661765298</v>
      </c>
      <c r="BD253" s="5">
        <v>-1.6686398079073302E-2</v>
      </c>
      <c r="BE253" s="5">
        <v>-1.1497602966680299E-2</v>
      </c>
      <c r="BF253" s="5">
        <v>-4.4763552554201502E-2</v>
      </c>
      <c r="BG253" s="5">
        <v>2.2409706539833402E-2</v>
      </c>
      <c r="BH253" s="5">
        <v>9.6071076117712303E-2</v>
      </c>
      <c r="BI253" s="5">
        <v>-0.107477626090521</v>
      </c>
      <c r="BJ253" s="5">
        <v>-0.21996649268012899</v>
      </c>
      <c r="BK253" s="5">
        <v>0.28722279337672402</v>
      </c>
      <c r="BL253" s="5">
        <v>4.3866282821658803E-2</v>
      </c>
      <c r="BM253" s="5">
        <v>-9.9238013758747703E-2</v>
      </c>
      <c r="BN253" s="5">
        <v>-4.2489341525397697E-2</v>
      </c>
      <c r="BO253" s="5">
        <v>2.5645796076535401E-2</v>
      </c>
      <c r="BP253" s="5">
        <v>7.4110791430510303E-2</v>
      </c>
      <c r="BQ253" s="5">
        <v>-0.142995079251695</v>
      </c>
      <c r="BR253" s="5">
        <v>7.2134534238460404E-2</v>
      </c>
      <c r="BS253" s="5">
        <v>-5.8501693820881502E-2</v>
      </c>
      <c r="BT253" s="5">
        <v>4.5162179089550003E-2</v>
      </c>
      <c r="BU253" s="5">
        <v>-6.0918162150515598E-2</v>
      </c>
      <c r="BV253" s="5">
        <v>0.132373015955775</v>
      </c>
      <c r="BW253" s="5">
        <v>-0.118459046340273</v>
      </c>
      <c r="BX253" s="5">
        <v>0.17930038212014299</v>
      </c>
      <c r="BY253" s="5">
        <v>-0.164871429623274</v>
      </c>
      <c r="BZ253" s="5">
        <v>0.23266535575252101</v>
      </c>
      <c r="CA253" s="5">
        <v>-0.22995830170484399</v>
      </c>
      <c r="CB253" s="5">
        <v>0.10697652020840701</v>
      </c>
      <c r="CC253" s="5">
        <v>-0.164663764978421</v>
      </c>
      <c r="CD253" s="5">
        <v>4.3119980501856399E-2</v>
      </c>
      <c r="CE253" s="5">
        <v>-6.0582433350212697E-2</v>
      </c>
      <c r="CF253" s="5">
        <v>0.172530713830438</v>
      </c>
      <c r="CG253" s="5">
        <v>-0.14146977106848399</v>
      </c>
      <c r="CH253" s="5">
        <v>-0.125616621851075</v>
      </c>
      <c r="CI253" s="5">
        <v>0.199815572962906</v>
      </c>
      <c r="CJ253" s="5">
        <v>4.3499244434591001E-2</v>
      </c>
      <c r="CK253" s="5">
        <v>-0.12717572511422801</v>
      </c>
      <c r="CL253" s="5">
        <v>7.3287034121407801E-2</v>
      </c>
      <c r="CM253" s="5">
        <v>-0.109814614298374</v>
      </c>
      <c r="CN253" s="5">
        <v>8.6015613792232298E-2</v>
      </c>
      <c r="CO253" s="5">
        <v>-0.13848461143188001</v>
      </c>
      <c r="CP253" s="5">
        <v>0.11790693905392299</v>
      </c>
      <c r="CQ253" s="5">
        <v>-7.9878944711441704E-2</v>
      </c>
      <c r="CR253" s="5">
        <v>0.12806392379484099</v>
      </c>
      <c r="CS253" s="5">
        <v>-0.17613050388360599</v>
      </c>
      <c r="CT253" s="5">
        <v>0.105604891363045</v>
      </c>
      <c r="CU253" s="5">
        <v>-0.15344310856665799</v>
      </c>
      <c r="CV253" s="5">
        <v>0.194604642258458</v>
      </c>
      <c r="CW253" s="5">
        <v>-0.20339603504359099</v>
      </c>
      <c r="CX253" s="5">
        <v>-3.1865057553455201E-2</v>
      </c>
      <c r="CY253" s="5">
        <v>4.5520151117547897E-2</v>
      </c>
      <c r="CZ253" s="5">
        <v>0.27214295515882603</v>
      </c>
      <c r="DA253" s="5">
        <v>-0.27337671508664202</v>
      </c>
      <c r="DB253" s="5">
        <v>1.33982640550951E-2</v>
      </c>
      <c r="DC253" s="5">
        <v>-2.96185548872509E-2</v>
      </c>
      <c r="DD253" s="5">
        <v>0.115435093593004</v>
      </c>
      <c r="DE253" s="5">
        <v>-0.11574417786416</v>
      </c>
      <c r="DF253" s="5">
        <v>1.5588784688289101E-2</v>
      </c>
      <c r="DG253" s="5">
        <v>-2.4820722624727499E-2</v>
      </c>
      <c r="DH253" s="5">
        <v>-3.9913974956246198E-2</v>
      </c>
      <c r="DI253" s="5">
        <v>2.9860433687095799E-2</v>
      </c>
      <c r="DJ253" s="5">
        <v>0.10653223818556699</v>
      </c>
      <c r="DK253" s="5">
        <v>-0.174352387525994</v>
      </c>
      <c r="DL253" s="5">
        <v>8.7624620259518907E-2</v>
      </c>
      <c r="DM253" s="5">
        <v>-0.10058395979509099</v>
      </c>
      <c r="DN253" s="5">
        <v>6.8235988392683397E-2</v>
      </c>
      <c r="DO253" s="5">
        <v>-0.140287509454676</v>
      </c>
      <c r="DP253" s="5">
        <v>-0.20600247083223799</v>
      </c>
      <c r="DQ253" s="5">
        <v>0.26836977705654802</v>
      </c>
      <c r="DR253" s="5">
        <v>-1.9781650300865601E-2</v>
      </c>
      <c r="DS253" s="5">
        <v>6.5235366404710702E-3</v>
      </c>
      <c r="DT253" s="5">
        <v>-7.136163666764E-3</v>
      </c>
      <c r="DU253" s="5">
        <v>4.8611794522404501E-2</v>
      </c>
      <c r="DV253" s="5">
        <v>0.21172892513741901</v>
      </c>
      <c r="DW253" s="5">
        <v>-0.22526263691648199</v>
      </c>
      <c r="DX253" s="5">
        <v>8.3041103694263901E-2</v>
      </c>
      <c r="DY253" s="5">
        <v>-0.14266584946231001</v>
      </c>
      <c r="DZ253" s="5">
        <v>1.09703938635487E-2</v>
      </c>
      <c r="EA253" s="5">
        <v>-2.26641024324153E-2</v>
      </c>
      <c r="EB253" s="5">
        <v>8.4078534449325906E-2</v>
      </c>
      <c r="EC253" s="5">
        <v>-7.2269778254963002E-2</v>
      </c>
      <c r="ED253" s="5">
        <v>4.1836399430934E-2</v>
      </c>
      <c r="EE253" s="5">
        <v>-2.10207968630183E-2</v>
      </c>
      <c r="EF253" s="5">
        <v>0.114300843155398</v>
      </c>
      <c r="EG253" s="5">
        <v>-0.16428762845115799</v>
      </c>
      <c r="EH253" s="5">
        <v>3.09282749645007E-2</v>
      </c>
      <c r="EI253" s="5">
        <v>1.5919500497109398E-2</v>
      </c>
      <c r="EJ253" s="5">
        <v>-2.37064308458232E-2</v>
      </c>
      <c r="EK253" s="5">
        <v>6.7682807160082306E-2</v>
      </c>
      <c r="EL253" s="5">
        <v>0.13272274054114599</v>
      </c>
      <c r="EM253" s="5">
        <v>-0.15571121084286199</v>
      </c>
      <c r="EN253" s="5">
        <v>-2.8843260588220301E-2</v>
      </c>
      <c r="EO253" s="5">
        <v>3.75116057972599E-2</v>
      </c>
      <c r="EP253" s="5">
        <v>0.114955641437249</v>
      </c>
      <c r="EQ253" s="5">
        <v>-0.12889384147355501</v>
      </c>
      <c r="ER253" s="5">
        <v>-2.9236123225494799E-2</v>
      </c>
      <c r="ES253" s="5">
        <v>5.0078893956363897E-2</v>
      </c>
      <c r="ET253" s="5">
        <v>6.4733969752257994E-2</v>
      </c>
      <c r="EU253" s="5">
        <v>-4.20972041294954E-2</v>
      </c>
      <c r="EV253" s="5">
        <v>1.44179343866785E-2</v>
      </c>
      <c r="EW253" s="5">
        <v>-2.2882989196026299E-2</v>
      </c>
      <c r="EX253" s="5">
        <v>0.113720671807749</v>
      </c>
      <c r="EY253" s="5">
        <v>-0.13977917338045401</v>
      </c>
      <c r="EZ253" s="5">
        <v>-2.12672132107137E-2</v>
      </c>
      <c r="FA253" s="5">
        <v>3.26789040215196E-2</v>
      </c>
      <c r="FB253" s="5">
        <v>-3.8173532656192298E-2</v>
      </c>
      <c r="FC253" s="5">
        <v>4.4767224485704901E-2</v>
      </c>
      <c r="FD253" s="5">
        <v>0.126021827815918</v>
      </c>
      <c r="FE253" s="5">
        <v>-0.13700401154641501</v>
      </c>
      <c r="FF253" s="5">
        <v>1.99874301990254E-3</v>
      </c>
      <c r="FG253" s="5">
        <v>-1.30484681417623E-2</v>
      </c>
      <c r="FH253" s="5">
        <v>1.0405056392220301E-2</v>
      </c>
      <c r="FI253" s="5">
        <v>5.7697050034179603E-3</v>
      </c>
      <c r="FJ253" s="5">
        <v>-5.4218524642304401E-2</v>
      </c>
      <c r="FK253" s="5">
        <v>8.9733204403034603E-2</v>
      </c>
      <c r="FL253" s="5">
        <v>8.5821604195167295E-2</v>
      </c>
      <c r="FM253" s="5">
        <v>-0.12683867552004699</v>
      </c>
      <c r="FN253" s="5">
        <v>-2.8687635672971099E-2</v>
      </c>
      <c r="FO253" s="5">
        <v>5.6729146284109799E-2</v>
      </c>
      <c r="FP253" s="5">
        <v>7.8343096642655E-2</v>
      </c>
      <c r="FQ253" s="5">
        <v>-8.2699657039405405E-2</v>
      </c>
      <c r="FR253" s="5">
        <v>-0.25838427337654202</v>
      </c>
      <c r="FS253" s="5">
        <v>0.17959261666748</v>
      </c>
      <c r="FT253" s="5">
        <v>7.8139496467310596E-2</v>
      </c>
      <c r="FU253" s="5">
        <v>-0.14214516762278501</v>
      </c>
      <c r="FV253" s="5">
        <v>-5.1570978725468099E-2</v>
      </c>
      <c r="FW253" s="5">
        <v>8.7657853131212604E-2</v>
      </c>
      <c r="FX253" s="5">
        <v>4.98649927578345E-2</v>
      </c>
      <c r="FY253" s="5">
        <v>-1.7234261668736602E-2</v>
      </c>
      <c r="FZ253" s="5">
        <v>0.129669007693688</v>
      </c>
      <c r="GA253" s="5">
        <v>-0.18981883772161001</v>
      </c>
      <c r="GB253" s="5">
        <v>8.8662385998805798E-2</v>
      </c>
      <c r="GC253" s="5">
        <v>-0.16405924390339699</v>
      </c>
      <c r="GD253" s="5">
        <v>6.3804667136111007E-2</v>
      </c>
      <c r="GE253" s="5">
        <v>-8.8906953284737897E-2</v>
      </c>
      <c r="GF253" s="5">
        <v>-1.7286241586057498E-2</v>
      </c>
      <c r="GG253" s="5">
        <v>4.6034080940372197E-3</v>
      </c>
      <c r="GH253" s="5">
        <v>-3.9639954098857698E-2</v>
      </c>
      <c r="GI253" s="5">
        <v>4.6478148133127402E-2</v>
      </c>
      <c r="GJ253" s="5">
        <v>4.8662350063607501E-2</v>
      </c>
      <c r="GK253" s="5">
        <v>-3.2374592082888301E-2</v>
      </c>
      <c r="GL253" s="5">
        <v>0.136958740337703</v>
      </c>
      <c r="GM253" s="5">
        <v>-0.18548806197226</v>
      </c>
      <c r="GN253" s="5">
        <v>-2.0969793565989801E-2</v>
      </c>
      <c r="GO253" s="5">
        <v>-1.0724294838850601E-2</v>
      </c>
      <c r="GP253" s="5">
        <v>6.4395339809354593E-2</v>
      </c>
      <c r="GQ253" s="5">
        <v>-7.4803669423960398E-2</v>
      </c>
      <c r="GR253" s="5">
        <v>0.10758451838111301</v>
      </c>
      <c r="GS253" s="5">
        <v>-8.6862516245030705E-2</v>
      </c>
      <c r="GT253" s="5">
        <v>0.11580675797092201</v>
      </c>
      <c r="GU253" s="5">
        <v>-0.17177470691994501</v>
      </c>
      <c r="GV253" s="5">
        <v>5.7767381339976401E-2</v>
      </c>
      <c r="GW253" s="5">
        <v>-7.6022764672528706E-2</v>
      </c>
      <c r="GX253" s="5">
        <v>-7.2137779499910903E-2</v>
      </c>
      <c r="GY253" s="5">
        <v>9.4303393311380906E-2</v>
      </c>
      <c r="GZ253" s="5">
        <v>5.7107602313685502E-2</v>
      </c>
      <c r="HA253" s="5">
        <v>-0.10788575341350901</v>
      </c>
      <c r="HB253" s="5">
        <v>7.3549749999635303E-2</v>
      </c>
      <c r="HC253" s="5">
        <v>-0.14378322373409999</v>
      </c>
      <c r="HD253" s="5">
        <v>-1.62500216785239E-2</v>
      </c>
      <c r="HE253" s="5">
        <v>-9.2842889654119291E-3</v>
      </c>
      <c r="HF253" s="5">
        <v>0.15031640256013101</v>
      </c>
      <c r="HG253" s="5">
        <v>-0.22453013672379599</v>
      </c>
      <c r="HH253" s="5">
        <v>5.2293700412059101E-2</v>
      </c>
      <c r="HI253" s="5">
        <v>-0.100885781440681</v>
      </c>
      <c r="HJ253" s="5">
        <v>0.14641607039639201</v>
      </c>
      <c r="HK253" s="5">
        <v>-0.21704567454465401</v>
      </c>
      <c r="HL253" s="5">
        <v>1.89132470187569E-2</v>
      </c>
      <c r="HM253" s="5">
        <v>-3.31788739729965E-2</v>
      </c>
      <c r="HN253" s="5">
        <v>7.2183465730061E-2</v>
      </c>
      <c r="HO253" s="5">
        <v>-0.118183316010362</v>
      </c>
      <c r="HP253" s="5">
        <v>-0.14160804044332601</v>
      </c>
      <c r="HQ253" s="5">
        <v>0.15995539632271899</v>
      </c>
      <c r="HR253" s="5">
        <v>-6.1866125582243497E-2</v>
      </c>
      <c r="HS253" s="5">
        <v>5.4292480250639603E-2</v>
      </c>
      <c r="HT253" s="5">
        <v>-1.21128036105602E-2</v>
      </c>
      <c r="HU253" s="5">
        <v>1.32882381736331E-2</v>
      </c>
      <c r="HV253" s="5">
        <v>1.6487610176988601E-2</v>
      </c>
      <c r="HW253" s="5">
        <v>-1.70956052785129E-2</v>
      </c>
      <c r="HX253" s="5">
        <v>6.9755394141754107E-2</v>
      </c>
      <c r="HY253" s="5">
        <v>-5.6214606966384098E-2</v>
      </c>
      <c r="HZ253" s="5">
        <v>5.2953881938329296E-4</v>
      </c>
      <c r="IA253" s="5">
        <v>-1.7817172028286001E-2</v>
      </c>
      <c r="IB253" s="5">
        <v>0.14310338582641</v>
      </c>
      <c r="IC253" s="5">
        <v>-0.15361353396531299</v>
      </c>
      <c r="ID253" s="5">
        <v>0.11122606126102801</v>
      </c>
      <c r="IE253" s="5">
        <v>-0.17075245963908001</v>
      </c>
      <c r="IF253" s="5">
        <v>2.7879527282553902E-2</v>
      </c>
      <c r="IG253" s="5">
        <v>-9.8556779560892392E-3</v>
      </c>
      <c r="IH253" s="5">
        <v>0.137994260099948</v>
      </c>
      <c r="II253" s="5">
        <v>-0.17762850638538299</v>
      </c>
      <c r="IJ253" s="5">
        <v>-0.147800070909265</v>
      </c>
      <c r="IK253" s="5">
        <v>0.22757389719986301</v>
      </c>
      <c r="IL253" s="5">
        <v>0.14495294261786501</v>
      </c>
      <c r="IM253" s="5">
        <v>-0.21302061074822401</v>
      </c>
      <c r="IN253" s="5">
        <v>0.15000428098403901</v>
      </c>
      <c r="IO253" s="5">
        <v>-0.18637617200452</v>
      </c>
      <c r="IP253" s="5">
        <v>7.7945254203365399E-2</v>
      </c>
      <c r="IQ253" s="5">
        <v>-0.121525268691497</v>
      </c>
      <c r="IR253" s="5">
        <v>-0.86292841548001697</v>
      </c>
      <c r="IS253" s="5">
        <v>1</v>
      </c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</row>
    <row r="254" spans="1:389" x14ac:dyDescent="0.45">
      <c r="A254" s="4" t="str">
        <f ca="1">"NER / beta1dist in "&amp;CELL("address",'damages-1990'!$J$128)</f>
        <v>NER / beta1dist in '[BHM betas v3pd.xlsx]damages-1990'!$J$128</v>
      </c>
      <c r="B254" s="6">
        <v>0.27720813423124302</v>
      </c>
      <c r="C254" s="5">
        <v>1.49084131479748E-2</v>
      </c>
      <c r="D254" s="5">
        <v>0.44340780172274402</v>
      </c>
      <c r="E254" s="5">
        <v>-9.19083750583186E-2</v>
      </c>
      <c r="F254" s="5">
        <v>0.11898440869365801</v>
      </c>
      <c r="G254" s="5">
        <v>9.1022990053103006E-2</v>
      </c>
      <c r="H254" s="5">
        <v>4.5807231423838801E-2</v>
      </c>
      <c r="I254" s="5">
        <v>-9.9086838624922804E-2</v>
      </c>
      <c r="J254" s="5">
        <v>0.50312412580480603</v>
      </c>
      <c r="K254" s="5">
        <v>-0.207021730010818</v>
      </c>
      <c r="L254" s="5">
        <v>0.36476663313602897</v>
      </c>
      <c r="M254" s="5">
        <v>-4.9176640862556603E-2</v>
      </c>
      <c r="N254" s="5">
        <v>-0.26132787400117302</v>
      </c>
      <c r="O254" s="5">
        <v>0.32795725029638401</v>
      </c>
      <c r="P254" s="5">
        <v>0.34146418301489201</v>
      </c>
      <c r="Q254" s="5">
        <v>-0.17675062489471</v>
      </c>
      <c r="R254" s="5">
        <v>0.46376572500095697</v>
      </c>
      <c r="S254" s="5">
        <v>-0.17662115159938899</v>
      </c>
      <c r="T254" s="5">
        <v>2.4312886475502699E-2</v>
      </c>
      <c r="U254" s="5">
        <v>-3.77586676512979E-2</v>
      </c>
      <c r="V254" s="5">
        <v>0.19071723418384701</v>
      </c>
      <c r="W254" s="5">
        <v>0.16456396915593099</v>
      </c>
      <c r="X254" s="5">
        <v>0.426546271691356</v>
      </c>
      <c r="Y254" s="5">
        <v>-7.1521271007849094E-2</v>
      </c>
      <c r="Z254" s="5">
        <v>0.11937332371894201</v>
      </c>
      <c r="AA254" s="5">
        <v>-5.8892894017696401E-2</v>
      </c>
      <c r="AB254" s="5">
        <v>0.67059853649916901</v>
      </c>
      <c r="AC254" s="5">
        <v>-0.44022364206000902</v>
      </c>
      <c r="AD254" s="5">
        <v>0.71430936222045704</v>
      </c>
      <c r="AE254" s="5">
        <v>-0.426702702702982</v>
      </c>
      <c r="AF254" s="5">
        <v>0.35936143749468002</v>
      </c>
      <c r="AG254" s="5">
        <v>-0.12545029589968501</v>
      </c>
      <c r="AH254" s="5">
        <v>8.5883390289105702E-2</v>
      </c>
      <c r="AI254" s="5">
        <v>8.3392277504266102E-2</v>
      </c>
      <c r="AJ254" s="5">
        <v>0.476911034696481</v>
      </c>
      <c r="AK254" s="5">
        <v>-0.21992915814702901</v>
      </c>
      <c r="AL254" s="5">
        <v>5.6614998035683498E-2</v>
      </c>
      <c r="AM254" s="5">
        <v>0.15373354711524601</v>
      </c>
      <c r="AN254" s="5">
        <v>-1.4986779205790101E-2</v>
      </c>
      <c r="AO254" s="5">
        <v>0.11227230014587899</v>
      </c>
      <c r="AP254" s="5">
        <v>5.5292351889236297E-3</v>
      </c>
      <c r="AQ254" s="5">
        <v>-1.8789662786239999E-2</v>
      </c>
      <c r="AR254" s="5">
        <v>0.271337077359109</v>
      </c>
      <c r="AS254" s="5">
        <v>-3.7574913252106899E-2</v>
      </c>
      <c r="AT254" s="5">
        <v>4.1015614154325801E-2</v>
      </c>
      <c r="AU254" s="5">
        <v>0.121997328838236</v>
      </c>
      <c r="AV254" s="5">
        <v>0.56973521427589802</v>
      </c>
      <c r="AW254" s="5">
        <v>-0.38848472069478501</v>
      </c>
      <c r="AX254" s="5">
        <v>0.48792835056292999</v>
      </c>
      <c r="AY254" s="5">
        <v>-0.23745712983679301</v>
      </c>
      <c r="AZ254" s="5">
        <v>0.37422915615152902</v>
      </c>
      <c r="BA254" s="5">
        <v>-0.22364906511013699</v>
      </c>
      <c r="BB254" s="5">
        <v>0.41686655854203197</v>
      </c>
      <c r="BC254" s="5">
        <v>-8.2392111594239495E-2</v>
      </c>
      <c r="BD254" s="5">
        <v>0.113009750531141</v>
      </c>
      <c r="BE254" s="5">
        <v>0.166037079041427</v>
      </c>
      <c r="BF254" s="5">
        <v>0.46758702626605397</v>
      </c>
      <c r="BG254" s="5">
        <v>-0.225387781130996</v>
      </c>
      <c r="BH254" s="5">
        <v>0.58523166882840605</v>
      </c>
      <c r="BI254" s="5">
        <v>-0.28357744149207598</v>
      </c>
      <c r="BJ254" s="5">
        <v>-0.22583857471766799</v>
      </c>
      <c r="BK254" s="5">
        <v>0.150243034841432</v>
      </c>
      <c r="BL254" s="5">
        <v>3.8434558694976299E-2</v>
      </c>
      <c r="BM254" s="5">
        <v>-6.5328889712345101E-2</v>
      </c>
      <c r="BN254" s="5">
        <v>1.26859117676133E-2</v>
      </c>
      <c r="BO254" s="5">
        <v>2.5468315597173899E-2</v>
      </c>
      <c r="BP254" s="5">
        <v>-0.13709193045082699</v>
      </c>
      <c r="BQ254" s="5">
        <v>0.237430626221939</v>
      </c>
      <c r="BR254" s="5">
        <v>0.60222865253955404</v>
      </c>
      <c r="BS254" s="5">
        <v>-0.304884238020868</v>
      </c>
      <c r="BT254" s="5">
        <v>0.679707284427292</v>
      </c>
      <c r="BU254" s="5">
        <v>-0.41397997099068901</v>
      </c>
      <c r="BV254" s="5">
        <v>0.49192808399031601</v>
      </c>
      <c r="BW254" s="5">
        <v>-0.152098675688144</v>
      </c>
      <c r="BX254" s="5">
        <v>0.49372948334008299</v>
      </c>
      <c r="BY254" s="5">
        <v>-0.21394396019303599</v>
      </c>
      <c r="BZ254" s="5">
        <v>0.438416857887726</v>
      </c>
      <c r="CA254" s="5">
        <v>-0.15753068547409699</v>
      </c>
      <c r="CB254" s="5">
        <v>0.23771110391757599</v>
      </c>
      <c r="CC254" s="5">
        <v>-0.104832094545573</v>
      </c>
      <c r="CD254" s="5">
        <v>5.7667287369676301E-2</v>
      </c>
      <c r="CE254" s="5">
        <v>7.2527767797169296E-2</v>
      </c>
      <c r="CF254" s="5">
        <v>0.30806046724978298</v>
      </c>
      <c r="CG254" s="5">
        <v>-0.14435688793073301</v>
      </c>
      <c r="CH254" s="5">
        <v>9.4390376742372994E-2</v>
      </c>
      <c r="CI254" s="5">
        <v>6.90855694207788E-2</v>
      </c>
      <c r="CJ254" s="5">
        <v>0.36547548851078399</v>
      </c>
      <c r="CK254" s="5">
        <v>-0.178555407327746</v>
      </c>
      <c r="CL254" s="5">
        <v>4.1310691742640099E-2</v>
      </c>
      <c r="CM254" s="5">
        <v>-1.8436093749948899E-2</v>
      </c>
      <c r="CN254" s="5">
        <v>6.91817409167408E-2</v>
      </c>
      <c r="CO254" s="5">
        <v>-2.6198749550079201E-2</v>
      </c>
      <c r="CP254" s="5">
        <v>0.21734235965227799</v>
      </c>
      <c r="CQ254" s="5">
        <v>7.1725673407556004E-5</v>
      </c>
      <c r="CR254" s="5">
        <v>0.321694269399316</v>
      </c>
      <c r="CS254" s="5">
        <v>-0.14285772272859401</v>
      </c>
      <c r="CT254" s="5">
        <v>0.121839246373616</v>
      </c>
      <c r="CU254" s="5">
        <v>-0.12601631295903901</v>
      </c>
      <c r="CV254" s="5">
        <v>0.38367149372008702</v>
      </c>
      <c r="CW254" s="5">
        <v>-0.17590575772404901</v>
      </c>
      <c r="CX254" s="5">
        <v>0.72997180624549696</v>
      </c>
      <c r="CY254" s="5">
        <v>-0.49462635862857701</v>
      </c>
      <c r="CZ254" s="5">
        <v>0.40030192329088299</v>
      </c>
      <c r="DA254" s="5">
        <v>-0.16607951322864101</v>
      </c>
      <c r="DB254" s="5">
        <v>0.64734956307335401</v>
      </c>
      <c r="DC254" s="5">
        <v>-0.40604364295178003</v>
      </c>
      <c r="DD254" s="5">
        <v>0.43627452981480402</v>
      </c>
      <c r="DE254" s="5">
        <v>-0.146055625776358</v>
      </c>
      <c r="DF254" s="5">
        <v>0.2175562931461</v>
      </c>
      <c r="DG254" s="5">
        <v>4.02991555055024E-2</v>
      </c>
      <c r="DH254" s="5">
        <v>0.127244291981532</v>
      </c>
      <c r="DI254" s="5">
        <v>0.15148522435967701</v>
      </c>
      <c r="DJ254" s="5">
        <v>2.4929778332295201E-2</v>
      </c>
      <c r="DK254" s="5">
        <v>-7.2465696606853203E-2</v>
      </c>
      <c r="DL254" s="5">
        <v>0.28717121451491701</v>
      </c>
      <c r="DM254" s="5">
        <v>3.3155142759054401E-2</v>
      </c>
      <c r="DN254" s="5">
        <v>-1.3503313949843899E-2</v>
      </c>
      <c r="DO254" s="5">
        <v>-9.4774707827095794E-2</v>
      </c>
      <c r="DP254" s="5">
        <v>0.333418874518083</v>
      </c>
      <c r="DQ254" s="5">
        <v>-6.9507045635353704E-2</v>
      </c>
      <c r="DR254" s="5">
        <v>0.14605661524665201</v>
      </c>
      <c r="DS254" s="5">
        <v>-2.93845117668304E-2</v>
      </c>
      <c r="DT254" s="5">
        <v>0.12880222658077101</v>
      </c>
      <c r="DU254" s="5">
        <v>2.91952892724315E-2</v>
      </c>
      <c r="DV254" s="5">
        <v>0.449446900071509</v>
      </c>
      <c r="DW254" s="5">
        <v>-0.21211292039087601</v>
      </c>
      <c r="DX254" s="5">
        <v>0.16203562502931201</v>
      </c>
      <c r="DY254" s="5">
        <v>-0.177790822481565</v>
      </c>
      <c r="DZ254" s="5">
        <v>-0.15422276287997599</v>
      </c>
      <c r="EA254" s="5">
        <v>0.21402951610302701</v>
      </c>
      <c r="EB254" s="5">
        <v>0.63769680436941201</v>
      </c>
      <c r="EC254" s="5">
        <v>-0.34227438438290197</v>
      </c>
      <c r="ED254" s="5">
        <v>0.63058736933486603</v>
      </c>
      <c r="EE254" s="5">
        <v>-0.31210587167600601</v>
      </c>
      <c r="EF254" s="5">
        <v>0.31620872123390398</v>
      </c>
      <c r="EG254" s="5">
        <v>-0.149244953836216</v>
      </c>
      <c r="EH254" s="5">
        <v>0.412711143882176</v>
      </c>
      <c r="EI254" s="5">
        <v>-0.13894979952782299</v>
      </c>
      <c r="EJ254" s="5">
        <v>0.49762161291414198</v>
      </c>
      <c r="EK254" s="5">
        <v>-0.21774436444313899</v>
      </c>
      <c r="EL254" s="5">
        <v>0.54350219737740901</v>
      </c>
      <c r="EM254" s="5">
        <v>-0.29687376669437598</v>
      </c>
      <c r="EN254" s="5">
        <v>0.30640791600550399</v>
      </c>
      <c r="EO254" s="5">
        <v>-9.2270619129938905E-2</v>
      </c>
      <c r="EP254" s="5">
        <v>0.38997186245280202</v>
      </c>
      <c r="EQ254" s="5">
        <v>-0.23129813253013401</v>
      </c>
      <c r="ER254" s="5">
        <v>0.329166499098764</v>
      </c>
      <c r="ES254" s="5">
        <v>-4.3334826499696499E-2</v>
      </c>
      <c r="ET254" s="5">
        <v>0.28232260061419301</v>
      </c>
      <c r="EU254" s="5">
        <v>-7.9958282263730099E-2</v>
      </c>
      <c r="EV254" s="5">
        <v>0.41371586050537901</v>
      </c>
      <c r="EW254" s="5">
        <v>-0.250926399705725</v>
      </c>
      <c r="EX254" s="5">
        <v>0.13178479662671</v>
      </c>
      <c r="EY254" s="5">
        <v>4.0773409326791202E-2</v>
      </c>
      <c r="EZ254" s="5">
        <v>0.33026806574199602</v>
      </c>
      <c r="FA254" s="5">
        <v>-7.5245887277022902E-2</v>
      </c>
      <c r="FB254" s="5">
        <v>8.0275950420809206E-2</v>
      </c>
      <c r="FC254" s="5">
        <v>9.4359221033354507E-2</v>
      </c>
      <c r="FD254" s="5">
        <v>0.33223122638711</v>
      </c>
      <c r="FE254" s="5">
        <v>-0.110401103670519</v>
      </c>
      <c r="FF254" s="5">
        <v>5.7361811080099599E-2</v>
      </c>
      <c r="FG254" s="5">
        <v>7.6714421005006694E-2</v>
      </c>
      <c r="FH254" s="5">
        <v>0.53704332287475298</v>
      </c>
      <c r="FI254" s="5">
        <v>-0.33197386115237698</v>
      </c>
      <c r="FJ254" s="5">
        <v>0.54152971486530299</v>
      </c>
      <c r="FK254" s="5">
        <v>-0.23636239278686699</v>
      </c>
      <c r="FL254" s="5">
        <v>9.8945121321220506E-2</v>
      </c>
      <c r="FM254" s="5">
        <v>-7.5067113641801894E-2</v>
      </c>
      <c r="FN254" s="5">
        <v>0.48559582032376197</v>
      </c>
      <c r="FO254" s="5">
        <v>-0.170407790293817</v>
      </c>
      <c r="FP254" s="5">
        <v>0.57302904304247804</v>
      </c>
      <c r="FQ254" s="5">
        <v>-0.30946865988299699</v>
      </c>
      <c r="FR254" s="5">
        <v>3.6032340945003703E-2</v>
      </c>
      <c r="FS254" s="5">
        <v>-0.103040647859725</v>
      </c>
      <c r="FT254" s="5">
        <v>0.49881812752919602</v>
      </c>
      <c r="FU254" s="5">
        <v>-0.22295182539717201</v>
      </c>
      <c r="FV254" s="5">
        <v>0.15527539498331699</v>
      </c>
      <c r="FW254" s="5">
        <v>6.9503094855441303E-2</v>
      </c>
      <c r="FX254" s="5">
        <v>0.24308871277094701</v>
      </c>
      <c r="FY254" s="5">
        <v>-6.3466669473368306E-2</v>
      </c>
      <c r="FZ254" s="5">
        <v>0.51461958002571495</v>
      </c>
      <c r="GA254" s="5">
        <v>-0.217557601615119</v>
      </c>
      <c r="GB254" s="5">
        <v>6.3058776006854306E-2</v>
      </c>
      <c r="GC254" s="5">
        <v>0.182570671427109</v>
      </c>
      <c r="GD254" s="5">
        <v>-7.4858769620143997E-2</v>
      </c>
      <c r="GE254" s="5">
        <v>7.5611879981699201E-2</v>
      </c>
      <c r="GF254" s="5">
        <v>0.21669711293864699</v>
      </c>
      <c r="GG254" s="5">
        <v>0.106231054198911</v>
      </c>
      <c r="GH254" s="5">
        <v>-0.24688794481042001</v>
      </c>
      <c r="GI254" s="5">
        <v>0.1784393848528</v>
      </c>
      <c r="GJ254" s="5">
        <v>0.39821979076227798</v>
      </c>
      <c r="GK254" s="5">
        <v>-0.237530583449726</v>
      </c>
      <c r="GL254" s="5">
        <v>0.38708924778078602</v>
      </c>
      <c r="GM254" s="5">
        <v>-0.21092230290164199</v>
      </c>
      <c r="GN254" s="5">
        <v>0.10350993908738999</v>
      </c>
      <c r="GO254" s="5">
        <v>0.143130053855344</v>
      </c>
      <c r="GP254" s="5">
        <v>0.53143509935521605</v>
      </c>
      <c r="GQ254" s="5">
        <v>-0.28725655493212898</v>
      </c>
      <c r="GR254" s="5">
        <v>0.52361405669866301</v>
      </c>
      <c r="GS254" s="5">
        <v>-0.38696993142731001</v>
      </c>
      <c r="GT254" s="5">
        <v>0.34522730891283498</v>
      </c>
      <c r="GU254" s="5">
        <v>-5.4180434852505698E-2</v>
      </c>
      <c r="GV254" s="5">
        <v>0.47937114168468198</v>
      </c>
      <c r="GW254" s="5">
        <v>-0.25409652733507698</v>
      </c>
      <c r="GX254" s="5">
        <v>0.74045629992022999</v>
      </c>
      <c r="GY254" s="5">
        <v>-0.553206233504697</v>
      </c>
      <c r="GZ254" s="5">
        <v>2.78423622574305E-2</v>
      </c>
      <c r="HA254" s="5">
        <v>-4.8392105270255198E-2</v>
      </c>
      <c r="HB254" s="5">
        <v>0.247865236532299</v>
      </c>
      <c r="HC254" s="5">
        <v>3.4694220266011801E-2</v>
      </c>
      <c r="HD254" s="5">
        <v>0.17469569836676499</v>
      </c>
      <c r="HE254" s="5">
        <v>0.14791222943403101</v>
      </c>
      <c r="HF254" s="5">
        <v>4.2066435006799498E-2</v>
      </c>
      <c r="HG254" s="5">
        <v>-6.3718871443899303E-2</v>
      </c>
      <c r="HH254" s="5">
        <v>8.6573371178398306E-2</v>
      </c>
      <c r="HI254" s="5">
        <v>-3.4206251903183098E-2</v>
      </c>
      <c r="HJ254" s="5">
        <v>3.4049363524534797E-2</v>
      </c>
      <c r="HK254" s="5">
        <v>-6.5487008658653006E-2</v>
      </c>
      <c r="HL254" s="5">
        <v>0.25143340061530001</v>
      </c>
      <c r="HM254" s="5">
        <v>2.4836441870907701E-2</v>
      </c>
      <c r="HN254" s="5">
        <v>6.5734836579469894E-2</v>
      </c>
      <c r="HO254" s="5">
        <v>4.5627948388761198E-2</v>
      </c>
      <c r="HP254" s="5">
        <v>0.49593603517346402</v>
      </c>
      <c r="HQ254" s="5">
        <v>-0.248198042173016</v>
      </c>
      <c r="HR254" s="5">
        <v>0.47865565819594103</v>
      </c>
      <c r="HS254" s="5">
        <v>-0.19338098497292699</v>
      </c>
      <c r="HT254" s="5">
        <v>3.38769955140137E-2</v>
      </c>
      <c r="HU254" s="5">
        <v>0.120699414296354</v>
      </c>
      <c r="HV254" s="5">
        <v>0.80333824436829404</v>
      </c>
      <c r="HW254" s="5">
        <v>-0.54681363973608599</v>
      </c>
      <c r="HX254" s="5">
        <v>0.53198136675463703</v>
      </c>
      <c r="HY254" s="5">
        <v>-0.28080769337964301</v>
      </c>
      <c r="HZ254" s="5">
        <v>-5.5044762522216101E-2</v>
      </c>
      <c r="IA254" s="5">
        <v>0.114560990840803</v>
      </c>
      <c r="IB254" s="5">
        <v>-0.183627813456963</v>
      </c>
      <c r="IC254" s="5">
        <v>9.5128728343385496E-2</v>
      </c>
      <c r="ID254" s="5">
        <v>0.48880062725919599</v>
      </c>
      <c r="IE254" s="5">
        <v>-0.20862956477564501</v>
      </c>
      <c r="IF254" s="5">
        <v>0.597907931373858</v>
      </c>
      <c r="IG254" s="5">
        <v>-0.33196612483430499</v>
      </c>
      <c r="IH254" s="5">
        <v>0.34616960972159</v>
      </c>
      <c r="II254" s="5">
        <v>-0.17473877233696899</v>
      </c>
      <c r="IJ254" s="5">
        <v>0.26856781228350202</v>
      </c>
      <c r="IK254" s="5">
        <v>-0.20669524534800299</v>
      </c>
      <c r="IL254" s="5">
        <v>0.47104401735997498</v>
      </c>
      <c r="IM254" s="5">
        <v>-0.15529321586799399</v>
      </c>
      <c r="IN254" s="5">
        <v>0.49303769116204299</v>
      </c>
      <c r="IO254" s="5">
        <v>-0.227901025060427</v>
      </c>
      <c r="IP254" s="5">
        <v>0.44441432967837202</v>
      </c>
      <c r="IQ254" s="5">
        <v>-0.10905230225666</v>
      </c>
      <c r="IR254" s="5">
        <v>0.21500519912246899</v>
      </c>
      <c r="IS254" s="5">
        <v>-1.16981282576191E-2</v>
      </c>
      <c r="IT254" s="5">
        <v>1</v>
      </c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</row>
    <row r="255" spans="1:389" x14ac:dyDescent="0.45">
      <c r="A255" s="4" t="str">
        <f ca="1">"NER / beta2dist in "&amp;CELL("address",'damages-1990'!$K$128)</f>
        <v>NER / beta2dist in '[BHM betas v3pd.xlsx]damages-1990'!$K$128</v>
      </c>
      <c r="B255" s="6">
        <v>-0.15220647495390799</v>
      </c>
      <c r="C255" s="5">
        <v>0.27192746671597801</v>
      </c>
      <c r="D255" s="5">
        <v>-0.132910150200021</v>
      </c>
      <c r="E255" s="5">
        <v>0.28189276675110497</v>
      </c>
      <c r="F255" s="5">
        <v>6.5775893699031201E-5</v>
      </c>
      <c r="G255" s="5">
        <v>2.8832517558133899E-2</v>
      </c>
      <c r="H255" s="5">
        <v>-0.14447590542837399</v>
      </c>
      <c r="I255" s="5">
        <v>0.122057150288575</v>
      </c>
      <c r="J255" s="5">
        <v>-0.17326419678636701</v>
      </c>
      <c r="K255" s="5">
        <v>0.31951680409899902</v>
      </c>
      <c r="L255" s="5">
        <v>-5.9852856280264599E-2</v>
      </c>
      <c r="M255" s="5">
        <v>0.101067086167956</v>
      </c>
      <c r="N255" s="5">
        <v>0.240739994718495</v>
      </c>
      <c r="O255" s="5">
        <v>-0.33842633859895899</v>
      </c>
      <c r="P255" s="5">
        <v>-0.31795932073350103</v>
      </c>
      <c r="Q255" s="5">
        <v>0.42381732274350897</v>
      </c>
      <c r="R255" s="5">
        <v>-0.122717529557872</v>
      </c>
      <c r="S255" s="5">
        <v>0.30791840405716697</v>
      </c>
      <c r="T255" s="5">
        <v>-0.136971762896686</v>
      </c>
      <c r="U255" s="5">
        <v>0.13870094153488099</v>
      </c>
      <c r="V255" s="5">
        <v>-3.1679167534385401E-3</v>
      </c>
      <c r="W255" s="5">
        <v>-1.01645777700011E-2</v>
      </c>
      <c r="X255" s="5">
        <v>-0.139673777907351</v>
      </c>
      <c r="Y255" s="5">
        <v>0.24403584388348801</v>
      </c>
      <c r="Z255" s="5">
        <v>-0.15878330905760099</v>
      </c>
      <c r="AA255" s="5">
        <v>0.19700310293914999</v>
      </c>
      <c r="AB255" s="5">
        <v>-0.44910513870653102</v>
      </c>
      <c r="AC255" s="5">
        <v>0.64771666918482895</v>
      </c>
      <c r="AD255" s="5">
        <v>-0.54481449034712504</v>
      </c>
      <c r="AE255" s="5">
        <v>0.69614534630226099</v>
      </c>
      <c r="AF255" s="5">
        <v>-0.134826536622356</v>
      </c>
      <c r="AG255" s="5">
        <v>0.28736366265137098</v>
      </c>
      <c r="AH255" s="5">
        <v>-1.12090121849169E-2</v>
      </c>
      <c r="AI255" s="5">
        <v>2.9295933312394599E-2</v>
      </c>
      <c r="AJ255" s="5">
        <v>-0.20779423656191601</v>
      </c>
      <c r="AK255" s="5">
        <v>0.368071797318758</v>
      </c>
      <c r="AL255" s="5">
        <v>0.32558912038890497</v>
      </c>
      <c r="AM255" s="5">
        <v>-0.318568915142661</v>
      </c>
      <c r="AN255" s="5">
        <v>-2.9910235295077399E-3</v>
      </c>
      <c r="AO255" s="5">
        <v>7.2129752941708604E-3</v>
      </c>
      <c r="AP255" s="5">
        <v>-0.20427521709087501</v>
      </c>
      <c r="AQ255" s="5">
        <v>0.240292567773355</v>
      </c>
      <c r="AR255" s="5">
        <v>5.4581358455562501E-2</v>
      </c>
      <c r="AS255" s="5">
        <v>8.1564929205952305E-2</v>
      </c>
      <c r="AT255" s="5">
        <v>0.31103537346299698</v>
      </c>
      <c r="AU255" s="5">
        <v>-0.26223100276399902</v>
      </c>
      <c r="AV255" s="5">
        <v>-0.21722013013035801</v>
      </c>
      <c r="AW255" s="5">
        <v>0.54392158414064096</v>
      </c>
      <c r="AX255" s="5">
        <v>-0.132174100054155</v>
      </c>
      <c r="AY255" s="5">
        <v>0.365489977035793</v>
      </c>
      <c r="AZ255" s="5">
        <v>-0.29496184377939599</v>
      </c>
      <c r="BA255" s="5">
        <v>0.41475111578179402</v>
      </c>
      <c r="BB255" s="5">
        <v>-5.5034157891407302E-2</v>
      </c>
      <c r="BC255" s="5">
        <v>0.20662228814862801</v>
      </c>
      <c r="BD255" s="5">
        <v>-9.0273856515064199E-2</v>
      </c>
      <c r="BE255" s="5">
        <v>0.17316066211362</v>
      </c>
      <c r="BF255" s="5">
        <v>-0.19948029971530901</v>
      </c>
      <c r="BG255" s="5">
        <v>0.34855065958287001</v>
      </c>
      <c r="BH255" s="5">
        <v>-0.27483920030085202</v>
      </c>
      <c r="BI255" s="5">
        <v>0.47174739968519103</v>
      </c>
      <c r="BJ255" s="5">
        <v>-3.3917596490665801E-2</v>
      </c>
      <c r="BK255" s="5">
        <v>-0.11309566777824601</v>
      </c>
      <c r="BL255" s="5">
        <v>-0.16320303826292601</v>
      </c>
      <c r="BM255" s="5">
        <v>0.14274603845911099</v>
      </c>
      <c r="BN255" s="5">
        <v>-0.109030824840798</v>
      </c>
      <c r="BO255" s="5">
        <v>0.121878292487405</v>
      </c>
      <c r="BP255" s="5">
        <v>1.6386757140200499E-2</v>
      </c>
      <c r="BQ255" s="5">
        <v>-8.5802650140943806E-2</v>
      </c>
      <c r="BR255" s="5">
        <v>-0.43602443334463398</v>
      </c>
      <c r="BS255" s="5">
        <v>0.56111221929620103</v>
      </c>
      <c r="BT255" s="5">
        <v>-0.34643116155433401</v>
      </c>
      <c r="BU255" s="5">
        <v>0.60080267679639099</v>
      </c>
      <c r="BV255" s="5">
        <v>-0.17079728960030399</v>
      </c>
      <c r="BW255" s="5">
        <v>0.32713774071814899</v>
      </c>
      <c r="BX255" s="5">
        <v>-0.18628709458183201</v>
      </c>
      <c r="BY255" s="5">
        <v>0.36635046174823999</v>
      </c>
      <c r="BZ255" s="5">
        <v>-0.14231415546342899</v>
      </c>
      <c r="CA255" s="5">
        <v>0.31529947357364402</v>
      </c>
      <c r="CB255" s="5">
        <v>2.5884007099009999E-2</v>
      </c>
      <c r="CC255" s="5">
        <v>0.17373127134775199</v>
      </c>
      <c r="CD255" s="5">
        <v>7.26118313709226E-2</v>
      </c>
      <c r="CE255" s="5">
        <v>7.7121069434516798E-2</v>
      </c>
      <c r="CF255" s="5">
        <v>-0.15662560014948801</v>
      </c>
      <c r="CG255" s="5">
        <v>0.31378407386208201</v>
      </c>
      <c r="CH255" s="5">
        <v>0.29763926332822499</v>
      </c>
      <c r="CI255" s="5">
        <v>-0.24794915260449299</v>
      </c>
      <c r="CJ255" s="5">
        <v>-0.194891331347092</v>
      </c>
      <c r="CK255" s="5">
        <v>0.27022765749604</v>
      </c>
      <c r="CL255" s="5">
        <v>-0.106897898617171</v>
      </c>
      <c r="CM255" s="5">
        <v>0.11713265624322999</v>
      </c>
      <c r="CN255" s="5">
        <v>-0.12523608533122199</v>
      </c>
      <c r="CO255" s="5">
        <v>0.14225997928484599</v>
      </c>
      <c r="CP255" s="5">
        <v>-0.110611995702907</v>
      </c>
      <c r="CQ255" s="5">
        <v>0.224361468572465</v>
      </c>
      <c r="CR255" s="5">
        <v>-0.26271582756467099</v>
      </c>
      <c r="CS255" s="5">
        <v>0.37409357128564602</v>
      </c>
      <c r="CT255" s="5">
        <v>-0.22156138422597699</v>
      </c>
      <c r="CU255" s="5">
        <v>0.24969324068684501</v>
      </c>
      <c r="CV255" s="5">
        <v>-0.24289173230981301</v>
      </c>
      <c r="CW255" s="5">
        <v>0.34431571214649698</v>
      </c>
      <c r="CX255" s="5">
        <v>-0.51518020261637298</v>
      </c>
      <c r="CY255" s="5">
        <v>0.74100402662018505</v>
      </c>
      <c r="CZ255" s="5">
        <v>-0.126247006658771</v>
      </c>
      <c r="DA255" s="5">
        <v>0.29823437765206701</v>
      </c>
      <c r="DB255" s="5">
        <v>-0.37225725852570002</v>
      </c>
      <c r="DC255" s="5">
        <v>0.58829557100230401</v>
      </c>
      <c r="DD255" s="5">
        <v>-0.302124363075299</v>
      </c>
      <c r="DE255" s="5">
        <v>0.40705822259721702</v>
      </c>
      <c r="DF255" s="5">
        <v>7.2316016211352498E-3</v>
      </c>
      <c r="DG255" s="5">
        <v>0.124421407950319</v>
      </c>
      <c r="DH255" s="5">
        <v>1.1823415600507E-2</v>
      </c>
      <c r="DI255" s="5">
        <v>5.7005789647617697E-2</v>
      </c>
      <c r="DJ255" s="5">
        <v>-0.25879179783337197</v>
      </c>
      <c r="DK255" s="5">
        <v>0.298514950978094</v>
      </c>
      <c r="DL255" s="5">
        <v>-6.2436527015370903E-3</v>
      </c>
      <c r="DM255" s="5">
        <v>0.166673524540326</v>
      </c>
      <c r="DN255" s="5">
        <v>-0.273250168855945</v>
      </c>
      <c r="DO255" s="5">
        <v>0.31035017572963097</v>
      </c>
      <c r="DP255" s="5">
        <v>5.8430201564579502E-2</v>
      </c>
      <c r="DQ255" s="5">
        <v>-3.72152522149891E-2</v>
      </c>
      <c r="DR255" s="5">
        <v>-0.11813642306746799</v>
      </c>
      <c r="DS255" s="5">
        <v>0.19497509940813301</v>
      </c>
      <c r="DT255" s="5">
        <v>-4.82455448931823E-3</v>
      </c>
      <c r="DU255" s="5">
        <v>6.1675598122631597E-2</v>
      </c>
      <c r="DV255" s="5">
        <v>-0.205170403509393</v>
      </c>
      <c r="DW255" s="5">
        <v>0.35557798004564301</v>
      </c>
      <c r="DX255" s="5">
        <v>-0.30629233490702501</v>
      </c>
      <c r="DY255" s="5">
        <v>0.378292855842498</v>
      </c>
      <c r="DZ255" s="5">
        <v>0.11938091511667701</v>
      </c>
      <c r="EA255" s="5">
        <v>-0.16511851644124501</v>
      </c>
      <c r="EB255" s="5">
        <v>-0.44540987047036701</v>
      </c>
      <c r="EC255" s="5">
        <v>0.58617641329091996</v>
      </c>
      <c r="ED255" s="5">
        <v>-0.39333858080173101</v>
      </c>
      <c r="EE255" s="5">
        <v>0.539063646221566</v>
      </c>
      <c r="EF255" s="5">
        <v>-0.29059495783349998</v>
      </c>
      <c r="EG255" s="5">
        <v>0.390504452382826</v>
      </c>
      <c r="EH255" s="5">
        <v>-0.13674857471598301</v>
      </c>
      <c r="EI255" s="5">
        <v>0.34479571755926802</v>
      </c>
      <c r="EJ255" s="5">
        <v>-0.23475723252853301</v>
      </c>
      <c r="EK255" s="5">
        <v>0.43715182609516701</v>
      </c>
      <c r="EL255" s="5">
        <v>-0.21836231797282701</v>
      </c>
      <c r="EM255" s="5">
        <v>0.42174369542816798</v>
      </c>
      <c r="EN255" s="5">
        <v>-7.8491754051700099E-2</v>
      </c>
      <c r="EO255" s="5">
        <v>0.119449056785393</v>
      </c>
      <c r="EP255" s="5">
        <v>-0.274862917920357</v>
      </c>
      <c r="EQ255" s="5">
        <v>0.395045404711237</v>
      </c>
      <c r="ER255" s="5">
        <v>-2.3647235394861401E-4</v>
      </c>
      <c r="ES255" s="5">
        <v>0.12972835605685301</v>
      </c>
      <c r="ET255" s="5">
        <v>1.5564721936170299E-2</v>
      </c>
      <c r="EU255" s="5">
        <v>0.164087570929287</v>
      </c>
      <c r="EV255" s="5">
        <v>-0.194889909109314</v>
      </c>
      <c r="EW255" s="5">
        <v>0.43168205545060601</v>
      </c>
      <c r="EX255" s="5">
        <v>0.18837238035314399</v>
      </c>
      <c r="EY255" s="5">
        <v>-2.2125767634042601E-2</v>
      </c>
      <c r="EZ255" s="5">
        <v>-5.3014486065075098E-2</v>
      </c>
      <c r="FA255" s="5">
        <v>0.231671586911564</v>
      </c>
      <c r="FB255" s="5">
        <v>-9.9675005806258397E-3</v>
      </c>
      <c r="FC255" s="5">
        <v>3.7313267928608999E-2</v>
      </c>
      <c r="FD255" s="5">
        <v>-0.105228634923651</v>
      </c>
      <c r="FE255" s="5">
        <v>0.218474049054555</v>
      </c>
      <c r="FF255" s="5">
        <v>-1.2501182396335299E-2</v>
      </c>
      <c r="FG255" s="5">
        <v>3.3497763968909501E-2</v>
      </c>
      <c r="FH255" s="5">
        <v>-4.4603606053682798E-2</v>
      </c>
      <c r="FI255" s="5">
        <v>0.20852126772096299</v>
      </c>
      <c r="FJ255" s="5">
        <v>-0.27888487541978402</v>
      </c>
      <c r="FK255" s="5">
        <v>0.45337871665478402</v>
      </c>
      <c r="FL255" s="5">
        <v>-0.19333143687249199</v>
      </c>
      <c r="FM255" s="5">
        <v>0.230255867842555</v>
      </c>
      <c r="FN255" s="5">
        <v>-0.24739396801378399</v>
      </c>
      <c r="FO255" s="5">
        <v>0.347141501252061</v>
      </c>
      <c r="FP255" s="5">
        <v>-0.30007101996720498</v>
      </c>
      <c r="FQ255" s="5">
        <v>0.43603790093654199</v>
      </c>
      <c r="FR255" s="5">
        <v>-5.9076892364074603E-2</v>
      </c>
      <c r="FS255" s="5">
        <v>8.2397063010025501E-2</v>
      </c>
      <c r="FT255" s="5">
        <v>-0.24591264062535201</v>
      </c>
      <c r="FU255" s="5">
        <v>0.39138222230658398</v>
      </c>
      <c r="FV255" s="5">
        <v>-9.2750620462906507E-3</v>
      </c>
      <c r="FW255" s="5">
        <v>7.7504579410603902E-2</v>
      </c>
      <c r="FX255" s="5">
        <v>-1.50489173144888E-2</v>
      </c>
      <c r="FY255" s="5">
        <v>0.15924806289333801</v>
      </c>
      <c r="FZ255" s="5">
        <v>-0.22730683842021601</v>
      </c>
      <c r="GA255" s="5">
        <v>0.38273290342372601</v>
      </c>
      <c r="GB255" s="5">
        <v>-2.2474646531367801E-2</v>
      </c>
      <c r="GC255" s="5">
        <v>3.20597157477093E-2</v>
      </c>
      <c r="GD255" s="5">
        <v>-7.8164735905346699E-2</v>
      </c>
      <c r="GE255" s="5">
        <v>8.9504734692610499E-2</v>
      </c>
      <c r="GF255" s="5">
        <v>0.111478157780457</v>
      </c>
      <c r="GG255" s="5">
        <v>4.6709819737155503E-2</v>
      </c>
      <c r="GH255" s="5">
        <v>0.16089275709425299</v>
      </c>
      <c r="GI255" s="5">
        <v>-0.264276441181862</v>
      </c>
      <c r="GJ255" s="5">
        <v>-6.8277965081116498E-2</v>
      </c>
      <c r="GK255" s="5">
        <v>0.279549044822957</v>
      </c>
      <c r="GL255" s="5">
        <v>-0.36699124272173</v>
      </c>
      <c r="GM255" s="5">
        <v>0.445070303205786</v>
      </c>
      <c r="GN255" s="5">
        <v>-1.29945206068854E-2</v>
      </c>
      <c r="GO255" s="5">
        <v>5.1936830904269399E-2</v>
      </c>
      <c r="GP255" s="5">
        <v>-0.26190490167678199</v>
      </c>
      <c r="GQ255" s="5">
        <v>0.43783052109700898</v>
      </c>
      <c r="GR255" s="5">
        <v>-0.22798194290358401</v>
      </c>
      <c r="GS255" s="5">
        <v>0.47790176870040002</v>
      </c>
      <c r="GT255" s="5">
        <v>-0.141759691469166</v>
      </c>
      <c r="GU255" s="5">
        <v>0.194544117428817</v>
      </c>
      <c r="GV255" s="5">
        <v>-0.21158854755041301</v>
      </c>
      <c r="GW255" s="5">
        <v>0.38702704738597599</v>
      </c>
      <c r="GX255" s="5">
        <v>-0.47775135968855797</v>
      </c>
      <c r="GY255" s="5">
        <v>0.68561459787577395</v>
      </c>
      <c r="GZ255" s="5">
        <v>-0.15014589504017101</v>
      </c>
      <c r="HA255" s="5">
        <v>0.12558438898010699</v>
      </c>
      <c r="HB255" s="5">
        <v>0.124897326525851</v>
      </c>
      <c r="HC255" s="5">
        <v>1.1950133651963801E-2</v>
      </c>
      <c r="HD255" s="5">
        <v>-0.107514844983295</v>
      </c>
      <c r="HE255" s="5">
        <v>0.17724893830475899</v>
      </c>
      <c r="HF255" s="5">
        <v>-0.23096305311541299</v>
      </c>
      <c r="HG255" s="5">
        <v>0.264859473444025</v>
      </c>
      <c r="HH255" s="5">
        <v>-0.13450288915919401</v>
      </c>
      <c r="HI255" s="5">
        <v>0.15544828199629199</v>
      </c>
      <c r="HJ255" s="5">
        <v>-0.24214589728144401</v>
      </c>
      <c r="HK255" s="5">
        <v>0.27149254340576701</v>
      </c>
      <c r="HL255" s="5">
        <v>-5.9215791981794698E-2</v>
      </c>
      <c r="HM255" s="5">
        <v>0.21503707783950099</v>
      </c>
      <c r="HN255" s="5">
        <v>-6.5724265945177093E-2</v>
      </c>
      <c r="HO255" s="5">
        <v>0.10516118814317101</v>
      </c>
      <c r="HP255" s="5">
        <v>-9.4218969884838896E-2</v>
      </c>
      <c r="HQ255" s="5">
        <v>0.33047747845437903</v>
      </c>
      <c r="HR255" s="5">
        <v>-7.0428818535699003E-2</v>
      </c>
      <c r="HS255" s="5">
        <v>0.221226042548058</v>
      </c>
      <c r="HT255" s="5">
        <v>7.0542304045729297E-3</v>
      </c>
      <c r="HU255" s="5">
        <v>1.1994088222968E-2</v>
      </c>
      <c r="HV255" s="5">
        <v>-0.58860587738790504</v>
      </c>
      <c r="HW255" s="5">
        <v>0.79425873011469394</v>
      </c>
      <c r="HX255" s="5">
        <v>-0.20835409871056501</v>
      </c>
      <c r="HY255" s="5">
        <v>0.43783190510456299</v>
      </c>
      <c r="HZ255" s="5">
        <v>5.2613847927356601E-3</v>
      </c>
      <c r="IA255" s="5">
        <v>-3.4785704495623698E-3</v>
      </c>
      <c r="IB255" s="5">
        <v>5.61315784501734E-2</v>
      </c>
      <c r="IC255" s="5">
        <v>-5.79467056597038E-2</v>
      </c>
      <c r="ID255" s="5">
        <v>-8.9889574762786001E-2</v>
      </c>
      <c r="IE255" s="5">
        <v>0.289412832294418</v>
      </c>
      <c r="IF255" s="5">
        <v>-0.34044291174750102</v>
      </c>
      <c r="IG255" s="5">
        <v>0.55578879268926096</v>
      </c>
      <c r="IH255" s="5">
        <v>-0.27618480606561002</v>
      </c>
      <c r="II255" s="5">
        <v>0.395870321737676</v>
      </c>
      <c r="IJ255" s="5">
        <v>-7.3140743289168794E-2</v>
      </c>
      <c r="IK255" s="5">
        <v>0.21767060570515401</v>
      </c>
      <c r="IL255" s="5">
        <v>-7.7068961055924701E-2</v>
      </c>
      <c r="IM255" s="5">
        <v>0.216698348817012</v>
      </c>
      <c r="IN255" s="5">
        <v>-8.4180205230027505E-2</v>
      </c>
      <c r="IO255" s="5">
        <v>0.276564901514949</v>
      </c>
      <c r="IP255" s="5">
        <v>-0.146467091001206</v>
      </c>
      <c r="IQ255" s="5">
        <v>0.27426955603507702</v>
      </c>
      <c r="IR255" s="5">
        <v>6.45273430463182E-2</v>
      </c>
      <c r="IS255" s="5">
        <v>-1.2014876662870801E-2</v>
      </c>
      <c r="IT255" s="5">
        <v>-0.76962317425850202</v>
      </c>
      <c r="IU255" s="5">
        <v>1</v>
      </c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</row>
    <row r="256" spans="1:389" x14ac:dyDescent="0.45">
      <c r="A256" s="4" t="str">
        <f ca="1">"NGA / beta1dist in "&amp;CELL("address",'damages-1990'!$J$129)</f>
        <v>NGA / beta1dist in '[BHM betas v3pd.xlsx]damages-1990'!$J$129</v>
      </c>
      <c r="B256" s="6">
        <v>0.223274546820347</v>
      </c>
      <c r="C256" s="5">
        <v>-1.04280684790015E-2</v>
      </c>
      <c r="D256" s="5">
        <v>0.54465583451501698</v>
      </c>
      <c r="E256" s="5">
        <v>-0.29448251910436601</v>
      </c>
      <c r="F256" s="5">
        <v>0.17845137717050399</v>
      </c>
      <c r="G256" s="5">
        <v>-7.5275464178958904E-2</v>
      </c>
      <c r="H256" s="5">
        <v>0.14602685202023499</v>
      </c>
      <c r="I256" s="5">
        <v>-0.171062195529089</v>
      </c>
      <c r="J256" s="5">
        <v>0.50654666838458395</v>
      </c>
      <c r="K256" s="5">
        <v>-0.32390188060108899</v>
      </c>
      <c r="L256" s="5">
        <v>0.28810888206475599</v>
      </c>
      <c r="M256" s="5">
        <v>-2.7558272368075301E-2</v>
      </c>
      <c r="N256" s="5">
        <v>-0.122482397670187</v>
      </c>
      <c r="O256" s="5">
        <v>0.15259024276133701</v>
      </c>
      <c r="P256" s="5">
        <v>0.36735220697831</v>
      </c>
      <c r="Q256" s="5">
        <v>-0.242634066696685</v>
      </c>
      <c r="R256" s="5">
        <v>0.472822523404477</v>
      </c>
      <c r="S256" s="5">
        <v>-0.29712130534974601</v>
      </c>
      <c r="T256" s="5">
        <v>0.23459215916419399</v>
      </c>
      <c r="U256" s="5">
        <v>-0.26200122615548799</v>
      </c>
      <c r="V256" s="5">
        <v>0.121590291162567</v>
      </c>
      <c r="W256" s="5">
        <v>0.16392467655007101</v>
      </c>
      <c r="X256" s="5">
        <v>0.51437707992842696</v>
      </c>
      <c r="Y256" s="5">
        <v>-0.27950824903135102</v>
      </c>
      <c r="Z256" s="5">
        <v>0.22598829533294501</v>
      </c>
      <c r="AA256" s="5">
        <v>-0.210903103480199</v>
      </c>
      <c r="AB256" s="5">
        <v>0.77480206164708798</v>
      </c>
      <c r="AC256" s="5">
        <v>-0.55743300583573996</v>
      </c>
      <c r="AD256" s="5">
        <v>0.79290768747620699</v>
      </c>
      <c r="AE256" s="5">
        <v>-0.52021669196954901</v>
      </c>
      <c r="AF256" s="5">
        <v>6.7538911262249396E-2</v>
      </c>
      <c r="AG256" s="5">
        <v>0.101117536642234</v>
      </c>
      <c r="AH256" s="5">
        <v>0.188451053936291</v>
      </c>
      <c r="AI256" s="5">
        <v>-0.12056454883639101</v>
      </c>
      <c r="AJ256" s="5">
        <v>0.38853055561607702</v>
      </c>
      <c r="AK256" s="5">
        <v>-0.24013172191432799</v>
      </c>
      <c r="AL256" s="5">
        <v>0.128628263005542</v>
      </c>
      <c r="AM256" s="5">
        <v>-1.9771186027969699E-2</v>
      </c>
      <c r="AN256" s="5">
        <v>0.14772905688113899</v>
      </c>
      <c r="AO256" s="5">
        <v>-0.110178737911779</v>
      </c>
      <c r="AP256" s="5">
        <v>0.150352232666708</v>
      </c>
      <c r="AQ256" s="5">
        <v>-0.15261165657619</v>
      </c>
      <c r="AR256" s="5">
        <v>0.34856733047868399</v>
      </c>
      <c r="AS256" s="5">
        <v>-0.204557101076314</v>
      </c>
      <c r="AT256" s="5">
        <v>-6.1741117159067899E-3</v>
      </c>
      <c r="AU256" s="5">
        <v>0.110746751912859</v>
      </c>
      <c r="AV256" s="5">
        <v>0.42772177678588702</v>
      </c>
      <c r="AW256" s="5">
        <v>-0.31238985715254902</v>
      </c>
      <c r="AX256" s="5">
        <v>0.46454784913135</v>
      </c>
      <c r="AY256" s="5">
        <v>-0.35195454732967202</v>
      </c>
      <c r="AZ256" s="5">
        <v>0.40880032199949601</v>
      </c>
      <c r="BA256" s="5">
        <v>-0.27937261025007898</v>
      </c>
      <c r="BB256" s="5">
        <v>0.54290616728402497</v>
      </c>
      <c r="BC256" s="5">
        <v>-0.30950350466549997</v>
      </c>
      <c r="BD256" s="5">
        <v>0.153200050548992</v>
      </c>
      <c r="BE256" s="5">
        <v>3.0346515838628501E-2</v>
      </c>
      <c r="BF256" s="5">
        <v>0.53484547354655099</v>
      </c>
      <c r="BG256" s="5">
        <v>-0.37548919784460899</v>
      </c>
      <c r="BH256" s="5">
        <v>0.65221071332980796</v>
      </c>
      <c r="BI256" s="5">
        <v>-0.41079060846594601</v>
      </c>
      <c r="BJ256" s="5">
        <v>-8.9272547606937397E-2</v>
      </c>
      <c r="BK256" s="5">
        <v>0.119473619782274</v>
      </c>
      <c r="BL256" s="5">
        <v>0.256118535755962</v>
      </c>
      <c r="BM256" s="5">
        <v>-0.290703779307175</v>
      </c>
      <c r="BN256" s="5">
        <v>-4.09468146475543E-2</v>
      </c>
      <c r="BO256" s="5">
        <v>9.6869311280651793E-2</v>
      </c>
      <c r="BP256" s="5">
        <v>-2.1565522547336301E-2</v>
      </c>
      <c r="BQ256" s="5">
        <v>0.10240674980565</v>
      </c>
      <c r="BR256" s="5">
        <v>0.78651248931641404</v>
      </c>
      <c r="BS256" s="5">
        <v>-0.51384659618983497</v>
      </c>
      <c r="BT256" s="5">
        <v>0.73184221793568205</v>
      </c>
      <c r="BU256" s="5">
        <v>-0.54958941260951799</v>
      </c>
      <c r="BV256" s="5">
        <v>0.63226726617181095</v>
      </c>
      <c r="BW256" s="5">
        <v>-0.39442246358196997</v>
      </c>
      <c r="BX256" s="5">
        <v>0.63403493365640096</v>
      </c>
      <c r="BY256" s="5">
        <v>-0.42632974263298201</v>
      </c>
      <c r="BZ256" s="5">
        <v>0.50806339439510595</v>
      </c>
      <c r="CA256" s="5">
        <v>-0.32245227869042198</v>
      </c>
      <c r="CB256" s="5">
        <v>0.29553246788616599</v>
      </c>
      <c r="CC256" s="5">
        <v>-0.222914767418847</v>
      </c>
      <c r="CD256" s="5">
        <v>0.11156516918138901</v>
      </c>
      <c r="CE256" s="5">
        <v>6.9769615515844798E-3</v>
      </c>
      <c r="CF256" s="5">
        <v>0.35513410582545402</v>
      </c>
      <c r="CG256" s="5">
        <v>-0.23686438016304801</v>
      </c>
      <c r="CH256" s="5">
        <v>0.17873930681051201</v>
      </c>
      <c r="CI256" s="5">
        <v>-8.5018700127286698E-2</v>
      </c>
      <c r="CJ256" s="5">
        <v>9.5142763436412106E-2</v>
      </c>
      <c r="CK256" s="5">
        <v>-1.87272759045682E-2</v>
      </c>
      <c r="CL256" s="5">
        <v>0.23167535405522699</v>
      </c>
      <c r="CM256" s="5">
        <v>-0.23666128423104699</v>
      </c>
      <c r="CN256" s="5">
        <v>0.23388480229351699</v>
      </c>
      <c r="CO256" s="5">
        <v>-0.23102237431931599</v>
      </c>
      <c r="CP256" s="5">
        <v>0.32812860699923602</v>
      </c>
      <c r="CQ256" s="5">
        <v>-0.108413441876588</v>
      </c>
      <c r="CR256" s="5">
        <v>0.35201492762117098</v>
      </c>
      <c r="CS256" s="5">
        <v>-0.20479902700812699</v>
      </c>
      <c r="CT256" s="5">
        <v>0.270140706787449</v>
      </c>
      <c r="CU256" s="5">
        <v>-0.28053030798535</v>
      </c>
      <c r="CV256" s="5">
        <v>0.58568705755273998</v>
      </c>
      <c r="CW256" s="5">
        <v>-0.42662479543997001</v>
      </c>
      <c r="CX256" s="5">
        <v>0.55344990378299397</v>
      </c>
      <c r="CY256" s="5">
        <v>-0.39644435023980101</v>
      </c>
      <c r="CZ256" s="5">
        <v>0.48754359098749001</v>
      </c>
      <c r="DA256" s="5">
        <v>-0.36329692794060198</v>
      </c>
      <c r="DB256" s="5">
        <v>0.38000785928091502</v>
      </c>
      <c r="DC256" s="5">
        <v>-0.204129628241846</v>
      </c>
      <c r="DD256" s="5">
        <v>0.48153917658453199</v>
      </c>
      <c r="DE256" s="5">
        <v>-0.21462797465094299</v>
      </c>
      <c r="DF256" s="5">
        <v>0.175337144265274</v>
      </c>
      <c r="DG256" s="5">
        <v>1.7219843019567201E-2</v>
      </c>
      <c r="DH256" s="5">
        <v>0.17081976715088301</v>
      </c>
      <c r="DI256" s="5">
        <v>-3.88823186122364E-2</v>
      </c>
      <c r="DJ256" s="5">
        <v>0.159153624803792</v>
      </c>
      <c r="DK256" s="5">
        <v>-0.188127177034007</v>
      </c>
      <c r="DL256" s="5">
        <v>0.418050377414804</v>
      </c>
      <c r="DM256" s="5">
        <v>-0.15094516837149299</v>
      </c>
      <c r="DN256" s="5">
        <v>9.9980255308668498E-2</v>
      </c>
      <c r="DO256" s="5">
        <v>-0.15316429039852</v>
      </c>
      <c r="DP256" s="5">
        <v>0.28604271199664999</v>
      </c>
      <c r="DQ256" s="5">
        <v>-7.8194668070099393E-2</v>
      </c>
      <c r="DR256" s="5">
        <v>0.20846373817191899</v>
      </c>
      <c r="DS256" s="5">
        <v>-0.16640486793533499</v>
      </c>
      <c r="DT256" s="5">
        <v>7.0473742336714204E-2</v>
      </c>
      <c r="DU256" s="5">
        <v>6.7347292558531197E-2</v>
      </c>
      <c r="DV256" s="5">
        <v>0.65567620497758605</v>
      </c>
      <c r="DW256" s="5">
        <v>-0.47375982880459799</v>
      </c>
      <c r="DX256" s="5">
        <v>0.19423796124276199</v>
      </c>
      <c r="DY256" s="5">
        <v>-0.18323483187909601</v>
      </c>
      <c r="DZ256" s="5">
        <v>-1.4806538692071901E-2</v>
      </c>
      <c r="EA256" s="5">
        <v>2.2880580356541402E-2</v>
      </c>
      <c r="EB256" s="5">
        <v>0.78037122483219701</v>
      </c>
      <c r="EC256" s="5">
        <v>-0.52160378433413102</v>
      </c>
      <c r="ED256" s="5">
        <v>0.74476667723690004</v>
      </c>
      <c r="EE256" s="5">
        <v>-0.47098665069346901</v>
      </c>
      <c r="EF256" s="5">
        <v>0.35658535977691902</v>
      </c>
      <c r="EG256" s="5">
        <v>-0.22329977270533599</v>
      </c>
      <c r="EH256" s="5">
        <v>0.54149250674413096</v>
      </c>
      <c r="EI256" s="5">
        <v>-0.31183534876505797</v>
      </c>
      <c r="EJ256" s="5">
        <v>0.61695531534524595</v>
      </c>
      <c r="EK256" s="5">
        <v>-0.38316638309879197</v>
      </c>
      <c r="EL256" s="5">
        <v>0.58413309840857297</v>
      </c>
      <c r="EM256" s="5">
        <v>-0.38709783757032201</v>
      </c>
      <c r="EN256" s="5">
        <v>0.196256721732916</v>
      </c>
      <c r="EO256" s="5">
        <v>-7.8696831443117302E-2</v>
      </c>
      <c r="EP256" s="5">
        <v>0.47453408717197398</v>
      </c>
      <c r="EQ256" s="5">
        <v>-0.35253915244772899</v>
      </c>
      <c r="ER256" s="5">
        <v>0.40301886184772401</v>
      </c>
      <c r="ES256" s="5">
        <v>-0.23235671275656999</v>
      </c>
      <c r="ET256" s="5">
        <v>0.28392084532224299</v>
      </c>
      <c r="EU256" s="5">
        <v>-0.196061949876704</v>
      </c>
      <c r="EV256" s="5">
        <v>0.33379603547347397</v>
      </c>
      <c r="EW256" s="5">
        <v>-0.291866752550133</v>
      </c>
      <c r="EX256" s="5">
        <v>-4.6613614286799297E-2</v>
      </c>
      <c r="EY256" s="5">
        <v>0.130167346498025</v>
      </c>
      <c r="EZ256" s="5">
        <v>0.417117064596711</v>
      </c>
      <c r="FA256" s="5">
        <v>-0.25847224190128498</v>
      </c>
      <c r="FB256" s="5">
        <v>0.17286220612214101</v>
      </c>
      <c r="FC256" s="5">
        <v>-8.5374169821943999E-2</v>
      </c>
      <c r="FD256" s="5">
        <v>0.509850867243413</v>
      </c>
      <c r="FE256" s="5">
        <v>-0.35378411211862798</v>
      </c>
      <c r="FF256" s="5">
        <v>0.169415335521164</v>
      </c>
      <c r="FG256" s="5">
        <v>-0.107748989991048</v>
      </c>
      <c r="FH256" s="5">
        <v>0.46414010381134801</v>
      </c>
      <c r="FI256" s="5">
        <v>-0.27533362216790302</v>
      </c>
      <c r="FJ256" s="5">
        <v>0.41595703348649199</v>
      </c>
      <c r="FK256" s="5">
        <v>-0.19433512911668399</v>
      </c>
      <c r="FL256" s="5">
        <v>3.6071401245805303E-2</v>
      </c>
      <c r="FM256" s="5">
        <v>2.6083283096453899E-2</v>
      </c>
      <c r="FN256" s="5">
        <v>0.41979353551367299</v>
      </c>
      <c r="FO256" s="5">
        <v>-0.19764198693579099</v>
      </c>
      <c r="FP256" s="5">
        <v>0.39463615398872798</v>
      </c>
      <c r="FQ256" s="5">
        <v>-0.203313086229225</v>
      </c>
      <c r="FR256" s="5">
        <v>6.4670611810027201E-2</v>
      </c>
      <c r="FS256" s="5">
        <v>-1.61997248624456E-2</v>
      </c>
      <c r="FT256" s="5">
        <v>0.247805802436562</v>
      </c>
      <c r="FU256" s="5">
        <v>-5.7011421396033803E-2</v>
      </c>
      <c r="FV256" s="5">
        <v>0.165532212067481</v>
      </c>
      <c r="FW256" s="5">
        <v>-2.8524491055440401E-2</v>
      </c>
      <c r="FX256" s="5">
        <v>0.36607405601394599</v>
      </c>
      <c r="FY256" s="5">
        <v>-0.25607846087945302</v>
      </c>
      <c r="FZ256" s="5">
        <v>0.33257811994673397</v>
      </c>
      <c r="GA256" s="5">
        <v>-0.11866566628392</v>
      </c>
      <c r="GB256" s="5">
        <v>0.12527144560026901</v>
      </c>
      <c r="GC256" s="5">
        <v>1.6215935360567001E-2</v>
      </c>
      <c r="GD256" s="5">
        <v>-4.3896925063363103E-2</v>
      </c>
      <c r="GE256" s="5">
        <v>5.1502621883172298E-2</v>
      </c>
      <c r="GF256" s="5">
        <v>0.24254376521117299</v>
      </c>
      <c r="GG256" s="5">
        <v>-2.7113426726509501E-2</v>
      </c>
      <c r="GH256" s="5">
        <v>-0.23594634761359001</v>
      </c>
      <c r="GI256" s="5">
        <v>0.223693987630602</v>
      </c>
      <c r="GJ256" s="5">
        <v>0.40378600885711402</v>
      </c>
      <c r="GK256" s="5">
        <v>-0.354683402528925</v>
      </c>
      <c r="GL256" s="5">
        <v>0.44409770476919802</v>
      </c>
      <c r="GM256" s="5">
        <v>-0.304778171308972</v>
      </c>
      <c r="GN256" s="5">
        <v>0.18480811276009501</v>
      </c>
      <c r="GO256" s="5">
        <v>-6.7030688686909506E-2</v>
      </c>
      <c r="GP256" s="5">
        <v>0.39475755084720199</v>
      </c>
      <c r="GQ256" s="5">
        <v>-0.229800031031199</v>
      </c>
      <c r="GR256" s="5">
        <v>0.45303888056242902</v>
      </c>
      <c r="GS256" s="5">
        <v>-0.39841820442852299</v>
      </c>
      <c r="GT256" s="5">
        <v>0.16100355263874799</v>
      </c>
      <c r="GU256" s="5">
        <v>6.9050799111534694E-2</v>
      </c>
      <c r="GV256" s="5">
        <v>0.73113665394259097</v>
      </c>
      <c r="GW256" s="5">
        <v>-0.563210955322206</v>
      </c>
      <c r="GX256" s="5">
        <v>0.49698881328612798</v>
      </c>
      <c r="GY256" s="5">
        <v>-0.37287804859656398</v>
      </c>
      <c r="GZ256" s="5">
        <v>0.24648626059499601</v>
      </c>
      <c r="HA256" s="5">
        <v>-0.27540222371670497</v>
      </c>
      <c r="HB256" s="5">
        <v>0.31968896433795901</v>
      </c>
      <c r="HC256" s="5">
        <v>-0.145057388403767</v>
      </c>
      <c r="HD256" s="5">
        <v>0.14277630115220599</v>
      </c>
      <c r="HE256" s="5">
        <v>0.131368596267739</v>
      </c>
      <c r="HF256" s="5">
        <v>0.18149471143228599</v>
      </c>
      <c r="HG256" s="5">
        <v>-0.19189498476168501</v>
      </c>
      <c r="HH256" s="5">
        <v>0.228912999513915</v>
      </c>
      <c r="HI256" s="5">
        <v>-0.22122964837590101</v>
      </c>
      <c r="HJ256" s="5">
        <v>0.179663764207179</v>
      </c>
      <c r="HK256" s="5">
        <v>-0.19792239818097601</v>
      </c>
      <c r="HL256" s="5">
        <v>0.221066761868701</v>
      </c>
      <c r="HM256" s="5">
        <v>-4.5311139737043399E-2</v>
      </c>
      <c r="HN256" s="5">
        <v>0.14788995252408199</v>
      </c>
      <c r="HO256" s="5">
        <v>-0.100356967871796</v>
      </c>
      <c r="HP256" s="5">
        <v>0.44773192931061101</v>
      </c>
      <c r="HQ256" s="5">
        <v>-0.29006862863403698</v>
      </c>
      <c r="HR256" s="5">
        <v>0.384908893650732</v>
      </c>
      <c r="HS256" s="5">
        <v>-0.20668799418640901</v>
      </c>
      <c r="HT256" s="5">
        <v>0.173935865306347</v>
      </c>
      <c r="HU256" s="5">
        <v>-0.115292418437433</v>
      </c>
      <c r="HV256" s="5">
        <v>0.70532970180082699</v>
      </c>
      <c r="HW256" s="5">
        <v>-0.47858312381043</v>
      </c>
      <c r="HX256" s="5">
        <v>0.46411290374770298</v>
      </c>
      <c r="HY256" s="5">
        <v>-0.285035902101547</v>
      </c>
      <c r="HZ256" s="5">
        <v>0.123334020388252</v>
      </c>
      <c r="IA256" s="5">
        <v>-0.106289342516695</v>
      </c>
      <c r="IB256" s="5">
        <v>-0.112798357518268</v>
      </c>
      <c r="IC256" s="5">
        <v>9.04383311114174E-2</v>
      </c>
      <c r="ID256" s="5">
        <v>0.602766481600993</v>
      </c>
      <c r="IE256" s="5">
        <v>-0.477766627228356</v>
      </c>
      <c r="IF256" s="5">
        <v>0.54508508456395699</v>
      </c>
      <c r="IG256" s="5">
        <v>-0.31781037106399601</v>
      </c>
      <c r="IH256" s="5">
        <v>0.374528470627708</v>
      </c>
      <c r="II256" s="5">
        <v>-0.23127891984497601</v>
      </c>
      <c r="IJ256" s="5">
        <v>0.22513841273403201</v>
      </c>
      <c r="IK256" s="5">
        <v>-0.18724297720861399</v>
      </c>
      <c r="IL256" s="5">
        <v>0.53018218818975205</v>
      </c>
      <c r="IM256" s="5">
        <v>-0.368347396103891</v>
      </c>
      <c r="IN256" s="5">
        <v>0.50206369596584399</v>
      </c>
      <c r="IO256" s="5">
        <v>-0.31445489577431701</v>
      </c>
      <c r="IP256" s="5">
        <v>0.496732959681916</v>
      </c>
      <c r="IQ256" s="5">
        <v>-0.26566605069090499</v>
      </c>
      <c r="IR256" s="5">
        <v>0.16225331228013201</v>
      </c>
      <c r="IS256" s="5">
        <v>-1.6824088282815099E-2</v>
      </c>
      <c r="IT256" s="5">
        <v>0.71170621191267103</v>
      </c>
      <c r="IU256" s="5">
        <v>-0.51862381336189001</v>
      </c>
      <c r="IV256" s="5">
        <v>1</v>
      </c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</row>
    <row r="257" spans="1:389" x14ac:dyDescent="0.45">
      <c r="A257" s="4" t="str">
        <f ca="1">"NGA / beta2dist in "&amp;CELL("address",'damages-1990'!$K$129)</f>
        <v>NGA / beta2dist in '[BHM betas v3pd.xlsx]damages-1990'!$K$129</v>
      </c>
      <c r="B257" s="6">
        <v>-0.134960475182652</v>
      </c>
      <c r="C257" s="5">
        <v>0.30785473042537098</v>
      </c>
      <c r="D257" s="5">
        <v>-0.28439510044704902</v>
      </c>
      <c r="E257" s="5">
        <v>0.52322943153556101</v>
      </c>
      <c r="F257" s="5">
        <v>-5.81823058619894E-2</v>
      </c>
      <c r="G257" s="5">
        <v>0.15401429238431799</v>
      </c>
      <c r="H257" s="5">
        <v>-0.153608607076547</v>
      </c>
      <c r="I257" s="5">
        <v>9.5704599650000194E-2</v>
      </c>
      <c r="J257" s="5">
        <v>-0.26531322085081699</v>
      </c>
      <c r="K257" s="5">
        <v>0.49543887647841101</v>
      </c>
      <c r="L257" s="5">
        <v>-3.0556242643796201E-2</v>
      </c>
      <c r="M257" s="5">
        <v>0.104803274438699</v>
      </c>
      <c r="N257" s="5">
        <v>0.10491300044292499</v>
      </c>
      <c r="O257" s="5">
        <v>-0.15369743520096499</v>
      </c>
      <c r="P257" s="5">
        <v>-0.38895951990623001</v>
      </c>
      <c r="Q257" s="5">
        <v>0.51749464210106799</v>
      </c>
      <c r="R257" s="5">
        <v>-0.18868984725101201</v>
      </c>
      <c r="S257" s="5">
        <v>0.46088769713252398</v>
      </c>
      <c r="T257" s="5">
        <v>-0.304588508554055</v>
      </c>
      <c r="U257" s="5">
        <v>0.321753105442175</v>
      </c>
      <c r="V257" s="5">
        <v>5.5007434485940199E-2</v>
      </c>
      <c r="W257" s="5">
        <v>-4.4787159845940498E-2</v>
      </c>
      <c r="X257" s="5">
        <v>-0.278553755609524</v>
      </c>
      <c r="Y257" s="5">
        <v>0.48659112213425698</v>
      </c>
      <c r="Z257" s="5">
        <v>-0.22043652386713899</v>
      </c>
      <c r="AA257" s="5">
        <v>0.28314678663301801</v>
      </c>
      <c r="AB257" s="5">
        <v>-0.562198371158948</v>
      </c>
      <c r="AC257" s="5">
        <v>0.78229757321344395</v>
      </c>
      <c r="AD257" s="5">
        <v>-0.62480545150018296</v>
      </c>
      <c r="AE257" s="5">
        <v>0.79614408309514695</v>
      </c>
      <c r="AF257" s="5">
        <v>7.8483921555158404E-2</v>
      </c>
      <c r="AG257" s="5">
        <v>0.12664803304304101</v>
      </c>
      <c r="AH257" s="5">
        <v>-9.4342375046822496E-2</v>
      </c>
      <c r="AI257" s="5">
        <v>0.17981029615001801</v>
      </c>
      <c r="AJ257" s="5">
        <v>-0.210972904868648</v>
      </c>
      <c r="AK257" s="5">
        <v>0.43607853191170498</v>
      </c>
      <c r="AL257" s="5">
        <v>0.22201516897592499</v>
      </c>
      <c r="AM257" s="5">
        <v>-0.13928643747927599</v>
      </c>
      <c r="AN257" s="5">
        <v>-0.15223605680280999</v>
      </c>
      <c r="AO257" s="5">
        <v>0.20145548552248299</v>
      </c>
      <c r="AP257" s="5">
        <v>-0.27923433264849701</v>
      </c>
      <c r="AQ257" s="5">
        <v>0.30587587217084899</v>
      </c>
      <c r="AR257" s="5">
        <v>-8.6897923096706506E-2</v>
      </c>
      <c r="AS257" s="5">
        <v>0.29007931675902499</v>
      </c>
      <c r="AT257" s="5">
        <v>0.319578115098125</v>
      </c>
      <c r="AU257" s="5">
        <v>-0.23566998238482101</v>
      </c>
      <c r="AV257" s="5">
        <v>-0.123608761132887</v>
      </c>
      <c r="AW257" s="5">
        <v>0.47912913796203799</v>
      </c>
      <c r="AX257" s="5">
        <v>-0.18071811526865</v>
      </c>
      <c r="AY257" s="5">
        <v>0.52640449261822098</v>
      </c>
      <c r="AZ257" s="5">
        <v>-0.39778549536894497</v>
      </c>
      <c r="BA257" s="5">
        <v>0.52376055075664196</v>
      </c>
      <c r="BB257" s="5">
        <v>-0.23677934797546399</v>
      </c>
      <c r="BC257" s="5">
        <v>0.47648784873725702</v>
      </c>
      <c r="BD257" s="5">
        <v>-0.119894166279278</v>
      </c>
      <c r="BE257" s="5">
        <v>0.25970453289359102</v>
      </c>
      <c r="BF257" s="5">
        <v>-0.29407761794357001</v>
      </c>
      <c r="BG257" s="5">
        <v>0.50693632373144504</v>
      </c>
      <c r="BH257" s="5">
        <v>-0.40898393236198</v>
      </c>
      <c r="BI257" s="5">
        <v>0.66552928976442804</v>
      </c>
      <c r="BJ257" s="5">
        <v>-0.10694362150370799</v>
      </c>
      <c r="BK257" s="5">
        <v>-0.124820061544654</v>
      </c>
      <c r="BL257" s="5">
        <v>-0.33657199962754403</v>
      </c>
      <c r="BM257" s="5">
        <v>0.32605948617821801</v>
      </c>
      <c r="BN257" s="5">
        <v>-1.0873224366946301E-2</v>
      </c>
      <c r="BO257" s="5">
        <v>-2.2275440599214501E-2</v>
      </c>
      <c r="BP257" s="5">
        <v>-2.7332534437172901E-2</v>
      </c>
      <c r="BQ257" s="5">
        <v>-5.9553138012797199E-2</v>
      </c>
      <c r="BR257" s="5">
        <v>-0.63104857562763195</v>
      </c>
      <c r="BS257" s="5">
        <v>0.79527605192297202</v>
      </c>
      <c r="BT257" s="5">
        <v>-0.44244547663460199</v>
      </c>
      <c r="BU257" s="5">
        <v>0.77365671574741701</v>
      </c>
      <c r="BV257" s="5">
        <v>-0.36293563626290798</v>
      </c>
      <c r="BW257" s="5">
        <v>0.61340663284600205</v>
      </c>
      <c r="BX257" s="5">
        <v>-0.36615149729234198</v>
      </c>
      <c r="BY257" s="5">
        <v>0.61656804552133104</v>
      </c>
      <c r="BZ257" s="5">
        <v>-0.27581524940716301</v>
      </c>
      <c r="CA257" s="5">
        <v>0.53396440033632797</v>
      </c>
      <c r="CB257" s="5">
        <v>-4.09193492399186E-2</v>
      </c>
      <c r="CC257" s="5">
        <v>0.28210869711891601</v>
      </c>
      <c r="CD257" s="5">
        <v>-5.5109472857469602E-2</v>
      </c>
      <c r="CE257" s="5">
        <v>0.199253611718885</v>
      </c>
      <c r="CF257" s="5">
        <v>-0.27723562747948</v>
      </c>
      <c r="CG257" s="5">
        <v>0.46480384371774403</v>
      </c>
      <c r="CH257" s="5">
        <v>0.18815425954564299</v>
      </c>
      <c r="CI257" s="5">
        <v>-9.1537801495385901E-2</v>
      </c>
      <c r="CJ257" s="5">
        <v>5.0913516743358297E-2</v>
      </c>
      <c r="CK257" s="5">
        <v>8.05887321942622E-2</v>
      </c>
      <c r="CL257" s="5">
        <v>-0.24847230864787101</v>
      </c>
      <c r="CM257" s="5">
        <v>0.28094649080331502</v>
      </c>
      <c r="CN257" s="5">
        <v>-0.23630209708331501</v>
      </c>
      <c r="CO257" s="5">
        <v>0.27848477476367101</v>
      </c>
      <c r="CP257" s="5">
        <v>-0.31179862847332301</v>
      </c>
      <c r="CQ257" s="5">
        <v>0.41894954160859099</v>
      </c>
      <c r="CR257" s="5">
        <v>-0.34682639268983601</v>
      </c>
      <c r="CS257" s="5">
        <v>0.47384516165427498</v>
      </c>
      <c r="CT257" s="5">
        <v>-0.30341465399176998</v>
      </c>
      <c r="CU257" s="5">
        <v>0.333871488329676</v>
      </c>
      <c r="CV257" s="5">
        <v>-0.44263802591881801</v>
      </c>
      <c r="CW257" s="5">
        <v>0.57343502649395905</v>
      </c>
      <c r="CX257" s="5">
        <v>-0.36810594604696001</v>
      </c>
      <c r="CY257" s="5">
        <v>0.63345843394176404</v>
      </c>
      <c r="CZ257" s="5">
        <v>-0.265615007283167</v>
      </c>
      <c r="DA257" s="5">
        <v>0.52832227253959096</v>
      </c>
      <c r="DB257" s="5">
        <v>-0.135649699934836</v>
      </c>
      <c r="DC257" s="5">
        <v>0.342809719977969</v>
      </c>
      <c r="DD257" s="5">
        <v>-0.403695515971351</v>
      </c>
      <c r="DE257" s="5">
        <v>0.52278240901818096</v>
      </c>
      <c r="DF257" s="5">
        <v>-7.3666054154797503E-2</v>
      </c>
      <c r="DG257" s="5">
        <v>0.25575900398939599</v>
      </c>
      <c r="DH257" s="5">
        <v>-7.7089932228157396E-2</v>
      </c>
      <c r="DI257" s="5">
        <v>0.26202560775258499</v>
      </c>
      <c r="DJ257" s="5">
        <v>-0.31156898290437601</v>
      </c>
      <c r="DK257" s="5">
        <v>0.33595907572969202</v>
      </c>
      <c r="DL257" s="5">
        <v>-0.22522712888875199</v>
      </c>
      <c r="DM257" s="5">
        <v>0.43065049430500402</v>
      </c>
      <c r="DN257" s="5">
        <v>-0.30383155759456898</v>
      </c>
      <c r="DO257" s="5">
        <v>0.29822630274933298</v>
      </c>
      <c r="DP257" s="5">
        <v>0.102178687491219</v>
      </c>
      <c r="DQ257" s="5">
        <v>-4.50381366964916E-2</v>
      </c>
      <c r="DR257" s="5">
        <v>-0.15773559202464499</v>
      </c>
      <c r="DS257" s="5">
        <v>0.27619385175802103</v>
      </c>
      <c r="DT257" s="5">
        <v>-2.1184562948658801E-2</v>
      </c>
      <c r="DU257" s="5">
        <v>8.9525230778814205E-2</v>
      </c>
      <c r="DV257" s="5">
        <v>-0.41793189685955501</v>
      </c>
      <c r="DW257" s="5">
        <v>0.62212067350748501</v>
      </c>
      <c r="DX257" s="5">
        <v>-0.25901772448057703</v>
      </c>
      <c r="DY257" s="5">
        <v>0.29425780087766601</v>
      </c>
      <c r="DZ257" s="5">
        <v>-1.25149215104424E-2</v>
      </c>
      <c r="EA257" s="5">
        <v>2.7384234764672999E-2</v>
      </c>
      <c r="EB257" s="5">
        <v>-0.61527611591793097</v>
      </c>
      <c r="EC257" s="5">
        <v>0.79409522286344003</v>
      </c>
      <c r="ED257" s="5">
        <v>-0.54823752171543305</v>
      </c>
      <c r="EE257" s="5">
        <v>0.74194309078486897</v>
      </c>
      <c r="EF257" s="5">
        <v>-0.381349222944174</v>
      </c>
      <c r="EG257" s="5">
        <v>0.49842316609293502</v>
      </c>
      <c r="EH257" s="5">
        <v>-0.33339850513000502</v>
      </c>
      <c r="EI257" s="5">
        <v>0.56829529974895798</v>
      </c>
      <c r="EJ257" s="5">
        <v>-0.40623293565833102</v>
      </c>
      <c r="EK257" s="5">
        <v>0.63976998332432</v>
      </c>
      <c r="EL257" s="5">
        <v>-0.32304105087009999</v>
      </c>
      <c r="EM257" s="5">
        <v>0.57361373935443705</v>
      </c>
      <c r="EN257" s="5">
        <v>2.2063950187910301E-2</v>
      </c>
      <c r="EO257" s="5">
        <v>6.5186367348250299E-2</v>
      </c>
      <c r="EP257" s="5">
        <v>-0.417419741035711</v>
      </c>
      <c r="EQ257" s="5">
        <v>0.55502480774771201</v>
      </c>
      <c r="ER257" s="5">
        <v>-0.142178673246</v>
      </c>
      <c r="ES257" s="5">
        <v>0.36364046212645601</v>
      </c>
      <c r="ET257" s="5">
        <v>-6.9323976487760897E-2</v>
      </c>
      <c r="EU257" s="5">
        <v>0.34523509773590699</v>
      </c>
      <c r="EV257" s="5">
        <v>-0.20617691859669701</v>
      </c>
      <c r="EW257" s="5">
        <v>0.53373619433850605</v>
      </c>
      <c r="EX257" s="5">
        <v>0.29096840867247997</v>
      </c>
      <c r="EY257" s="5">
        <v>-6.1894580783310497E-2</v>
      </c>
      <c r="EZ257" s="5">
        <v>-0.19617162121833301</v>
      </c>
      <c r="FA257" s="5">
        <v>0.449136373368276</v>
      </c>
      <c r="FB257" s="5">
        <v>-0.10163947911898499</v>
      </c>
      <c r="FC257" s="5">
        <v>0.18715623729638101</v>
      </c>
      <c r="FD257" s="5">
        <v>-0.28511884279502298</v>
      </c>
      <c r="FE257" s="5">
        <v>0.44372703036738997</v>
      </c>
      <c r="FF257" s="5">
        <v>-0.10359495544497099</v>
      </c>
      <c r="FG257" s="5">
        <v>0.17054380306945999</v>
      </c>
      <c r="FH257" s="5">
        <v>-1.0742776195806001E-2</v>
      </c>
      <c r="FI257" s="5">
        <v>0.18691036585688101</v>
      </c>
      <c r="FJ257" s="5">
        <v>-0.226333115655521</v>
      </c>
      <c r="FK257" s="5">
        <v>0.45823540320325001</v>
      </c>
      <c r="FL257" s="5">
        <v>-6.3078955489309099E-2</v>
      </c>
      <c r="FM257" s="5">
        <v>5.5170638669826598E-2</v>
      </c>
      <c r="FN257" s="5">
        <v>-0.237578867944751</v>
      </c>
      <c r="FO257" s="5">
        <v>0.39412001683666797</v>
      </c>
      <c r="FP257" s="5">
        <v>-0.16757020320434701</v>
      </c>
      <c r="FQ257" s="5">
        <v>0.31830663302001799</v>
      </c>
      <c r="FR257" s="5">
        <v>-1.72667925666515E-2</v>
      </c>
      <c r="FS257" s="5">
        <v>-4.24219652132444E-2</v>
      </c>
      <c r="FT257" s="5">
        <v>-3.10071383299096E-2</v>
      </c>
      <c r="FU257" s="5">
        <v>0.19377663751997901</v>
      </c>
      <c r="FV257" s="5">
        <v>-3.4794577016201797E-2</v>
      </c>
      <c r="FW257" s="5">
        <v>0.157561925674398</v>
      </c>
      <c r="FX257" s="5">
        <v>-0.17881500784823501</v>
      </c>
      <c r="FY257" s="5">
        <v>0.36610820077557299</v>
      </c>
      <c r="FZ257" s="5">
        <v>-8.2173702806239604E-2</v>
      </c>
      <c r="GA257" s="5">
        <v>0.25346331758268198</v>
      </c>
      <c r="GB257" s="5">
        <v>-7.2661093477047703E-2</v>
      </c>
      <c r="GC257" s="5">
        <v>0.152566989974244</v>
      </c>
      <c r="GD257" s="5">
        <v>-1.9613423347350101E-2</v>
      </c>
      <c r="GE257" s="5">
        <v>1.9789517363124801E-2</v>
      </c>
      <c r="GF257" s="5">
        <v>-2.5280809547986401E-2</v>
      </c>
      <c r="GG257" s="5">
        <v>0.28589759222042499</v>
      </c>
      <c r="GH257" s="5">
        <v>0.242583220242616</v>
      </c>
      <c r="GI257" s="5">
        <v>-0.396627916679968</v>
      </c>
      <c r="GJ257" s="5">
        <v>-0.12669140176181801</v>
      </c>
      <c r="GK257" s="5">
        <v>0.42977795084580001</v>
      </c>
      <c r="GL257" s="5">
        <v>-0.45841497643814799</v>
      </c>
      <c r="GM257" s="5">
        <v>0.55513185608373905</v>
      </c>
      <c r="GN257" s="5">
        <v>-8.3138304924269796E-2</v>
      </c>
      <c r="GO257" s="5">
        <v>0.209927326119837</v>
      </c>
      <c r="GP257" s="5">
        <v>-0.19528779697158599</v>
      </c>
      <c r="GQ257" s="5">
        <v>0.39660508967147201</v>
      </c>
      <c r="GR257" s="5">
        <v>-0.19864687481884699</v>
      </c>
      <c r="GS257" s="5">
        <v>0.50844175724111695</v>
      </c>
      <c r="GT257" s="5">
        <v>1.7341378521388801E-2</v>
      </c>
      <c r="GU257" s="5">
        <v>4.1031294361232103E-2</v>
      </c>
      <c r="GV257" s="5">
        <v>-0.472566515960815</v>
      </c>
      <c r="GW257" s="5">
        <v>0.71619670481201902</v>
      </c>
      <c r="GX257" s="5">
        <v>-0.246828610471199</v>
      </c>
      <c r="GY257" s="5">
        <v>0.46045749870713798</v>
      </c>
      <c r="GZ257" s="5">
        <v>-0.32493423926208498</v>
      </c>
      <c r="HA257" s="5">
        <v>0.31085849171126401</v>
      </c>
      <c r="HB257" s="5">
        <v>-2.9006948832955699E-2</v>
      </c>
      <c r="HC257" s="5">
        <v>0.27251546752894301</v>
      </c>
      <c r="HD257" s="5">
        <v>-9.3255448482162495E-2</v>
      </c>
      <c r="HE257" s="5">
        <v>0.19264736437236199</v>
      </c>
      <c r="HF257" s="5">
        <v>-0.29064914440713702</v>
      </c>
      <c r="HG257" s="5">
        <v>0.31281445631805499</v>
      </c>
      <c r="HH257" s="5">
        <v>-0.22851524409958199</v>
      </c>
      <c r="HI257" s="5">
        <v>0.27622699606996998</v>
      </c>
      <c r="HJ257" s="5">
        <v>-0.30608151169995701</v>
      </c>
      <c r="HK257" s="5">
        <v>0.324623204417607</v>
      </c>
      <c r="HL257" s="5">
        <v>-0.125227901699451</v>
      </c>
      <c r="HM257" s="5">
        <v>0.363986104726579</v>
      </c>
      <c r="HN257" s="5">
        <v>-0.116334555983819</v>
      </c>
      <c r="HO257" s="5">
        <v>0.193286981291589</v>
      </c>
      <c r="HP257" s="5">
        <v>-3.30539495908675E-2</v>
      </c>
      <c r="HQ257" s="5">
        <v>0.320882501507326</v>
      </c>
      <c r="HR257" s="5">
        <v>-5.2492339044266999E-2</v>
      </c>
      <c r="HS257" s="5">
        <v>0.283526833320702</v>
      </c>
      <c r="HT257" s="5">
        <v>-0.116969436613756</v>
      </c>
      <c r="HU257" s="5">
        <v>0.204060702258164</v>
      </c>
      <c r="HV257" s="5">
        <v>-0.49898439701011599</v>
      </c>
      <c r="HW257" s="5">
        <v>0.72025799192260598</v>
      </c>
      <c r="HX257" s="5">
        <v>-0.18583888286495001</v>
      </c>
      <c r="HY257" s="5">
        <v>0.475577401562786</v>
      </c>
      <c r="HZ257" s="5">
        <v>-0.14919059874288601</v>
      </c>
      <c r="IA257" s="5">
        <v>0.18548184441999199</v>
      </c>
      <c r="IB257" s="5">
        <v>8.7049930090435101E-2</v>
      </c>
      <c r="IC257" s="5">
        <v>-0.15438011667603799</v>
      </c>
      <c r="ID257" s="5">
        <v>-0.213451159693682</v>
      </c>
      <c r="IE257" s="5">
        <v>0.53021806591101395</v>
      </c>
      <c r="IF257" s="5">
        <v>-0.33943015767999402</v>
      </c>
      <c r="IG257" s="5">
        <v>0.57901538523144602</v>
      </c>
      <c r="IH257" s="5">
        <v>-0.36585019235706701</v>
      </c>
      <c r="II257" s="5">
        <v>0.498131688238592</v>
      </c>
      <c r="IJ257" s="5">
        <v>-4.4633090797512098E-2</v>
      </c>
      <c r="IK257" s="5">
        <v>0.19686868908024399</v>
      </c>
      <c r="IL257" s="5">
        <v>-0.18004622646132801</v>
      </c>
      <c r="IM257" s="5">
        <v>0.44633954761452499</v>
      </c>
      <c r="IN257" s="5">
        <v>-0.15406272286665301</v>
      </c>
      <c r="IO257" s="5">
        <v>0.41959806154353102</v>
      </c>
      <c r="IP257" s="5">
        <v>-0.24858320443715401</v>
      </c>
      <c r="IQ257" s="5">
        <v>0.46264331033885198</v>
      </c>
      <c r="IR257" s="5">
        <v>9.1989753170384603E-2</v>
      </c>
      <c r="IS257" s="5">
        <v>1.7903473692223999E-3</v>
      </c>
      <c r="IT257" s="5">
        <v>-0.47072168069474202</v>
      </c>
      <c r="IU257" s="5">
        <v>0.70999762405344202</v>
      </c>
      <c r="IV257" s="5">
        <v>-0.78198918792000505</v>
      </c>
      <c r="IW257" s="5">
        <v>1</v>
      </c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</row>
    <row r="258" spans="1:389" x14ac:dyDescent="0.45">
      <c r="A258" s="4" t="str">
        <f ca="1">"NIC / beta1dist in "&amp;CELL("address",'damages-1990'!$J$130)</f>
        <v>NIC / beta1dist in '[BHM betas v3pd.xlsx]damages-1990'!$J$130</v>
      </c>
      <c r="B258" s="6">
        <v>0.14333982425974101</v>
      </c>
      <c r="C258" s="5">
        <v>0.17747711314572201</v>
      </c>
      <c r="D258" s="5">
        <v>0.55776561469753405</v>
      </c>
      <c r="E258" s="5">
        <v>-0.32311440552512799</v>
      </c>
      <c r="F258" s="5">
        <v>0.121305775011409</v>
      </c>
      <c r="G258" s="5">
        <v>9.3821479594073401E-2</v>
      </c>
      <c r="H258" s="5">
        <v>-0.25711619951624198</v>
      </c>
      <c r="I258" s="5">
        <v>0.22017610542680799</v>
      </c>
      <c r="J258" s="5">
        <v>0.419217076593075</v>
      </c>
      <c r="K258" s="5">
        <v>-0.116365451300038</v>
      </c>
      <c r="L258" s="5">
        <v>0.244608366301451</v>
      </c>
      <c r="M258" s="5">
        <v>0.100307713115355</v>
      </c>
      <c r="N258" s="5">
        <v>6.7801493071329294E-2</v>
      </c>
      <c r="O258" s="5">
        <v>-9.7244055678925995E-2</v>
      </c>
      <c r="P258" s="5">
        <v>0.33615770173012599</v>
      </c>
      <c r="Q258" s="5">
        <v>-0.19864182213585499</v>
      </c>
      <c r="R258" s="5">
        <v>0.44048424235130301</v>
      </c>
      <c r="S258" s="5">
        <v>-0.16327239993297701</v>
      </c>
      <c r="T258" s="5">
        <v>2.063769582562E-3</v>
      </c>
      <c r="U258" s="5">
        <v>-2.4798325622840602E-2</v>
      </c>
      <c r="V258" s="5">
        <v>0.18233892495286999</v>
      </c>
      <c r="W258" s="5">
        <v>0.12708223329337201</v>
      </c>
      <c r="X258" s="5">
        <v>0.45572402926371303</v>
      </c>
      <c r="Y258" s="5">
        <v>-0.19832209468856599</v>
      </c>
      <c r="Z258" s="5">
        <v>-2.1284818238283699E-2</v>
      </c>
      <c r="AA258" s="5">
        <v>7.2969381839646102E-2</v>
      </c>
      <c r="AB258" s="5">
        <v>0.48521249692137802</v>
      </c>
      <c r="AC258" s="5">
        <v>-0.33991710045259999</v>
      </c>
      <c r="AD258" s="5">
        <v>0.50852507061915397</v>
      </c>
      <c r="AE258" s="5">
        <v>-0.343584302563606</v>
      </c>
      <c r="AF258" s="5">
        <v>0.364748205185699</v>
      </c>
      <c r="AG258" s="5">
        <v>-0.143488308519826</v>
      </c>
      <c r="AH258" s="5">
        <v>0.128135522834467</v>
      </c>
      <c r="AI258" s="5">
        <v>2.4737635870113302E-2</v>
      </c>
      <c r="AJ258" s="5">
        <v>0.39440685262759001</v>
      </c>
      <c r="AK258" s="5">
        <v>-7.5502291639833699E-2</v>
      </c>
      <c r="AL258" s="5">
        <v>0.377344073942877</v>
      </c>
      <c r="AM258" s="5">
        <v>-0.24457749522722699</v>
      </c>
      <c r="AN258" s="5">
        <v>6.1324374340848899E-2</v>
      </c>
      <c r="AO258" s="5">
        <v>4.6490794470732703E-3</v>
      </c>
      <c r="AP258" s="5">
        <v>-5.1949401507608302E-2</v>
      </c>
      <c r="AQ258" s="5">
        <v>4.7097111367583697E-2</v>
      </c>
      <c r="AR258" s="5">
        <v>0.750845011396023</v>
      </c>
      <c r="AS258" s="5">
        <v>-0.60811944284511299</v>
      </c>
      <c r="AT258" s="5">
        <v>0.21520188888404401</v>
      </c>
      <c r="AU258" s="5">
        <v>-4.4164800591009801E-2</v>
      </c>
      <c r="AV258" s="5">
        <v>0.60878574239860395</v>
      </c>
      <c r="AW258" s="5">
        <v>-0.41572402754532201</v>
      </c>
      <c r="AX258" s="5">
        <v>0.730658726722614</v>
      </c>
      <c r="AY258" s="5">
        <v>-0.58338836604675204</v>
      </c>
      <c r="AZ258" s="5">
        <v>0.49131981034163902</v>
      </c>
      <c r="BA258" s="5">
        <v>-0.346325033363588</v>
      </c>
      <c r="BB258" s="5">
        <v>0.50014581296365701</v>
      </c>
      <c r="BC258" s="5">
        <v>-0.25796691163714702</v>
      </c>
      <c r="BD258" s="5">
        <v>7.2198613263998498E-2</v>
      </c>
      <c r="BE258" s="5">
        <v>0.20687625289990999</v>
      </c>
      <c r="BF258" s="5">
        <v>0.465704073807786</v>
      </c>
      <c r="BG258" s="5">
        <v>-0.23490745173149999</v>
      </c>
      <c r="BH258" s="5">
        <v>0.53908500084357103</v>
      </c>
      <c r="BI258" s="5">
        <v>-0.33441947916721798</v>
      </c>
      <c r="BJ258" s="5">
        <v>-0.27775130816253901</v>
      </c>
      <c r="BK258" s="5">
        <v>0.214809671085508</v>
      </c>
      <c r="BL258" s="5">
        <v>5.0403366893213303E-3</v>
      </c>
      <c r="BM258" s="5">
        <v>-6.3333708920544199E-2</v>
      </c>
      <c r="BN258" s="5">
        <v>-0.15764781961611599</v>
      </c>
      <c r="BO258" s="5">
        <v>0.23781992571687</v>
      </c>
      <c r="BP258" s="5">
        <v>-0.18982003730984801</v>
      </c>
      <c r="BQ258" s="5">
        <v>0.32329764554071699</v>
      </c>
      <c r="BR258" s="5">
        <v>0.49703196728573701</v>
      </c>
      <c r="BS258" s="5">
        <v>-0.36385956941166198</v>
      </c>
      <c r="BT258" s="5">
        <v>0.60483874552103001</v>
      </c>
      <c r="BU258" s="5">
        <v>-0.41977604797969797</v>
      </c>
      <c r="BV258" s="5">
        <v>0.54388234697896098</v>
      </c>
      <c r="BW258" s="5">
        <v>-0.335634643158295</v>
      </c>
      <c r="BX258" s="5">
        <v>0.43577748177139097</v>
      </c>
      <c r="BY258" s="5">
        <v>-0.28342805602481702</v>
      </c>
      <c r="BZ258" s="5">
        <v>0.59369353266773806</v>
      </c>
      <c r="CA258" s="5">
        <v>-0.42579655199453198</v>
      </c>
      <c r="CB258" s="5">
        <v>0.44086612793407398</v>
      </c>
      <c r="CC258" s="5">
        <v>-0.30201020497478998</v>
      </c>
      <c r="CD258" s="5">
        <v>0.291037942934602</v>
      </c>
      <c r="CE258" s="5">
        <v>-0.12005915841729101</v>
      </c>
      <c r="CF258" s="5">
        <v>0.76829245332729601</v>
      </c>
      <c r="CG258" s="5">
        <v>-0.58156592860008804</v>
      </c>
      <c r="CH258" s="5">
        <v>0.39144589215304698</v>
      </c>
      <c r="CI258" s="5">
        <v>-0.30974325542921999</v>
      </c>
      <c r="CJ258" s="5">
        <v>8.3554121266111503E-2</v>
      </c>
      <c r="CK258" s="5">
        <v>0.13439371458631</v>
      </c>
      <c r="CL258" s="5">
        <v>2.85227315851549E-3</v>
      </c>
      <c r="CM258" s="5">
        <v>1.4024785422805299E-2</v>
      </c>
      <c r="CN258" s="5">
        <v>-1.6152326246473E-2</v>
      </c>
      <c r="CO258" s="5">
        <v>4.8334021951623299E-2</v>
      </c>
      <c r="CP258" s="5">
        <v>0.43653038381466502</v>
      </c>
      <c r="CQ258" s="5">
        <v>-0.243855461374337</v>
      </c>
      <c r="CR258" s="5">
        <v>0.39928029715050301</v>
      </c>
      <c r="CS258" s="5">
        <v>-0.250981682263342</v>
      </c>
      <c r="CT258" s="5">
        <v>-4.5992355835551703E-2</v>
      </c>
      <c r="CU258" s="5">
        <v>3.9826927073725302E-2</v>
      </c>
      <c r="CV258" s="5">
        <v>0.54399706136836601</v>
      </c>
      <c r="CW258" s="5">
        <v>-0.39239599311934098</v>
      </c>
      <c r="CX258" s="5">
        <v>0.42858405077081901</v>
      </c>
      <c r="CY258" s="5">
        <v>-0.17598660419246501</v>
      </c>
      <c r="CZ258" s="5">
        <v>0.56477149697610796</v>
      </c>
      <c r="DA258" s="5">
        <v>-0.38669316896268302</v>
      </c>
      <c r="DB258" s="5">
        <v>0.20747081768723</v>
      </c>
      <c r="DC258" s="5">
        <v>0.189731492079842</v>
      </c>
      <c r="DD258" s="5">
        <v>0.44827267969171503</v>
      </c>
      <c r="DE258" s="5">
        <v>-0.23612262062075601</v>
      </c>
      <c r="DF258" s="5">
        <v>0.51839772114705795</v>
      </c>
      <c r="DG258" s="5">
        <v>-0.291828209119399</v>
      </c>
      <c r="DH258" s="5">
        <v>0.26372545898115701</v>
      </c>
      <c r="DI258" s="5">
        <v>-2.9134866038998002E-2</v>
      </c>
      <c r="DJ258" s="5">
        <v>-0.105313317831145</v>
      </c>
      <c r="DK258" s="5">
        <v>7.8574787628302598E-2</v>
      </c>
      <c r="DL258" s="5">
        <v>0.484120482386382</v>
      </c>
      <c r="DM258" s="5">
        <v>-0.24467733363431601</v>
      </c>
      <c r="DN258" s="5">
        <v>-0.21316359642917401</v>
      </c>
      <c r="DO258" s="5">
        <v>0.16926842739626</v>
      </c>
      <c r="DP258" s="5">
        <v>0.20008593739052899</v>
      </c>
      <c r="DQ258" s="5">
        <v>1.3550482712475E-2</v>
      </c>
      <c r="DR258" s="5">
        <v>3.9811179920375799E-2</v>
      </c>
      <c r="DS258" s="5">
        <v>9.4994453427422604E-2</v>
      </c>
      <c r="DT258" s="5">
        <v>0.35261239557129997</v>
      </c>
      <c r="DU258" s="5">
        <v>-0.17954202532321001</v>
      </c>
      <c r="DV258" s="5">
        <v>0.28256635192222002</v>
      </c>
      <c r="DW258" s="5">
        <v>-0.13575155899135999</v>
      </c>
      <c r="DX258" s="5">
        <v>-0.153050986136718</v>
      </c>
      <c r="DY258" s="5">
        <v>0.174059079597013</v>
      </c>
      <c r="DZ258" s="5">
        <v>7.4340586508726395E-2</v>
      </c>
      <c r="EA258" s="5">
        <v>-9.1035488997999001E-2</v>
      </c>
      <c r="EB258" s="5">
        <v>0.61602715334903002</v>
      </c>
      <c r="EC258" s="5">
        <v>-0.42504296053310398</v>
      </c>
      <c r="ED258" s="5">
        <v>0.49141834901470899</v>
      </c>
      <c r="EE258" s="5">
        <v>-0.29707791945360401</v>
      </c>
      <c r="EF258" s="5">
        <v>0.37613176530756498</v>
      </c>
      <c r="EG258" s="5">
        <v>-0.232975780294287</v>
      </c>
      <c r="EH258" s="5">
        <v>0.65994866342305003</v>
      </c>
      <c r="EI258" s="5">
        <v>-0.42573962563048801</v>
      </c>
      <c r="EJ258" s="5">
        <v>0.57239641712547995</v>
      </c>
      <c r="EK258" s="5">
        <v>-0.33502035106939199</v>
      </c>
      <c r="EL258" s="5">
        <v>0.61611799241048404</v>
      </c>
      <c r="EM258" s="5">
        <v>-0.45731636668803699</v>
      </c>
      <c r="EN258" s="5">
        <v>0.11731478325005699</v>
      </c>
      <c r="EO258" s="5">
        <v>0.12888401775751099</v>
      </c>
      <c r="EP258" s="5">
        <v>0.51779965323308497</v>
      </c>
      <c r="EQ258" s="5">
        <v>-0.34653239573775702</v>
      </c>
      <c r="ER258" s="5">
        <v>0.75416209505572396</v>
      </c>
      <c r="ES258" s="5">
        <v>-0.59513831984973997</v>
      </c>
      <c r="ET258" s="5">
        <v>0.61076571168252503</v>
      </c>
      <c r="EU258" s="5">
        <v>-0.46425445868244197</v>
      </c>
      <c r="EV258" s="5">
        <v>0.700785664432238</v>
      </c>
      <c r="EW258" s="5">
        <v>-0.53794460285450696</v>
      </c>
      <c r="EX258" s="5">
        <v>0.40162282002570399</v>
      </c>
      <c r="EY258" s="5">
        <v>-0.25855023005483802</v>
      </c>
      <c r="EZ258" s="5">
        <v>0.830427085602647</v>
      </c>
      <c r="FA258" s="5">
        <v>-0.64209077037812201</v>
      </c>
      <c r="FB258" s="5">
        <v>0.128132821071965</v>
      </c>
      <c r="FC258" s="5">
        <v>1.03695983811009E-2</v>
      </c>
      <c r="FD258" s="5">
        <v>0.59581040301184895</v>
      </c>
      <c r="FE258" s="5">
        <v>-0.45820748034098602</v>
      </c>
      <c r="FF258" s="5">
        <v>9.8238983584255896E-2</v>
      </c>
      <c r="FG258" s="5">
        <v>1.28913080865832E-2</v>
      </c>
      <c r="FH258" s="5">
        <v>0.52040026846335397</v>
      </c>
      <c r="FI258" s="5">
        <v>-0.40291835530089198</v>
      </c>
      <c r="FJ258" s="5">
        <v>0.35177766881379802</v>
      </c>
      <c r="FK258" s="5">
        <v>-2.9651776613840001E-2</v>
      </c>
      <c r="FL258" s="5">
        <v>-0.17216260187249399</v>
      </c>
      <c r="FM258" s="5">
        <v>0.20891344327764999</v>
      </c>
      <c r="FN258" s="5">
        <v>0.29589268037163602</v>
      </c>
      <c r="FO258" s="5">
        <v>2.7413348789371E-2</v>
      </c>
      <c r="FP258" s="5">
        <v>0.37039064431651703</v>
      </c>
      <c r="FQ258" s="5">
        <v>-6.0020770953705997E-2</v>
      </c>
      <c r="FR258" s="5">
        <v>-0.15992121463260101</v>
      </c>
      <c r="FS258" s="5">
        <v>6.3213669221092395E-2</v>
      </c>
      <c r="FT258" s="5">
        <v>0.27186047852014</v>
      </c>
      <c r="FU258" s="5">
        <v>9.2083397179780702E-2</v>
      </c>
      <c r="FV258" s="5">
        <v>0.16546045560397099</v>
      </c>
      <c r="FW258" s="5">
        <v>3.8470310951337398E-2</v>
      </c>
      <c r="FX258" s="5">
        <v>0.61181541590049704</v>
      </c>
      <c r="FY258" s="5">
        <v>-0.46647126309001302</v>
      </c>
      <c r="FZ258" s="5">
        <v>0.33053963546222198</v>
      </c>
      <c r="GA258" s="5">
        <v>5.0800879184634898E-2</v>
      </c>
      <c r="GB258" s="5">
        <v>0.106753426059812</v>
      </c>
      <c r="GC258" s="5">
        <v>7.0318043378095399E-2</v>
      </c>
      <c r="GD258" s="5">
        <v>-0.175775612201928</v>
      </c>
      <c r="GE258" s="5">
        <v>0.181117694227375</v>
      </c>
      <c r="GF258" s="5">
        <v>0.451654378617039</v>
      </c>
      <c r="GG258" s="5">
        <v>-0.23950186469936999</v>
      </c>
      <c r="GH258" s="5">
        <v>-0.285608656127534</v>
      </c>
      <c r="GI258" s="5">
        <v>0.21841100187624399</v>
      </c>
      <c r="GJ258" s="5">
        <v>0.59519282701193899</v>
      </c>
      <c r="GK258" s="5">
        <v>-0.43344286132089099</v>
      </c>
      <c r="GL258" s="5">
        <v>0.358130530794941</v>
      </c>
      <c r="GM258" s="5">
        <v>-0.20568698028733401</v>
      </c>
      <c r="GN258" s="5">
        <v>0.121859233830695</v>
      </c>
      <c r="GO258" s="5">
        <v>9.7147234850159705E-2</v>
      </c>
      <c r="GP258" s="5">
        <v>0.47204318208280599</v>
      </c>
      <c r="GQ258" s="5">
        <v>-0.16961224031644401</v>
      </c>
      <c r="GR258" s="5">
        <v>0.55194745777670695</v>
      </c>
      <c r="GS258" s="5">
        <v>-0.42770015659544097</v>
      </c>
      <c r="GT258" s="5">
        <v>0.22236432428094899</v>
      </c>
      <c r="GU258" s="5">
        <v>7.1912136473486807E-2</v>
      </c>
      <c r="GV258" s="5">
        <v>0.38903577638914399</v>
      </c>
      <c r="GW258" s="5">
        <v>-0.31604953123757001</v>
      </c>
      <c r="GX258" s="5">
        <v>0.21066975755994799</v>
      </c>
      <c r="GY258" s="5">
        <v>5.6268866598052802E-2</v>
      </c>
      <c r="GZ258" s="5">
        <v>9.2887949861725806E-3</v>
      </c>
      <c r="HA258" s="5">
        <v>-5.9270040190194599E-2</v>
      </c>
      <c r="HB258" s="5">
        <v>0.448677946614914</v>
      </c>
      <c r="HC258" s="5">
        <v>-0.28500251241966601</v>
      </c>
      <c r="HD258" s="5">
        <v>7.3436986012366298E-2</v>
      </c>
      <c r="HE258" s="5">
        <v>0.20665026132591099</v>
      </c>
      <c r="HF258" s="5">
        <v>-8.3448789392290501E-2</v>
      </c>
      <c r="HG258" s="5">
        <v>7.8039000599346597E-2</v>
      </c>
      <c r="HH258" s="5">
        <v>-4.2275331009881102E-2</v>
      </c>
      <c r="HI258" s="5">
        <v>8.9135967650607606E-2</v>
      </c>
      <c r="HJ258" s="5">
        <v>-8.56307722057955E-2</v>
      </c>
      <c r="HK258" s="5">
        <v>6.5401639405370901E-2</v>
      </c>
      <c r="HL258" s="5">
        <v>0.48275220303003102</v>
      </c>
      <c r="HM258" s="5">
        <v>-0.247910689009748</v>
      </c>
      <c r="HN258" s="5">
        <v>0.115472811385115</v>
      </c>
      <c r="HO258" s="5">
        <v>-2.6060621093824E-2</v>
      </c>
      <c r="HP258" s="5">
        <v>0.25147870594614602</v>
      </c>
      <c r="HQ258" s="5">
        <v>3.3504131967520299E-2</v>
      </c>
      <c r="HR258" s="5">
        <v>0.44271466331335901</v>
      </c>
      <c r="HS258" s="5">
        <v>-0.21654140310155301</v>
      </c>
      <c r="HT258" s="5">
        <v>9.1876204406067793E-2</v>
      </c>
      <c r="HU258" s="5">
        <v>5.2764104884866998E-2</v>
      </c>
      <c r="HV258" s="5">
        <v>0.42133478801622198</v>
      </c>
      <c r="HW258" s="5">
        <v>-0.21961469323642099</v>
      </c>
      <c r="HX258" s="5">
        <v>0.45332956402074198</v>
      </c>
      <c r="HY258" s="5">
        <v>-0.26198159936499399</v>
      </c>
      <c r="HZ258" s="5">
        <v>1.2580834819939799E-2</v>
      </c>
      <c r="IA258" s="5">
        <v>2.529378513589E-2</v>
      </c>
      <c r="IB258" s="5">
        <v>-0.390088543764948</v>
      </c>
      <c r="IC258" s="5">
        <v>0.37485312501623602</v>
      </c>
      <c r="ID258" s="5">
        <v>0.41790883491310998</v>
      </c>
      <c r="IE258" s="5">
        <v>-0.131540724550291</v>
      </c>
      <c r="IF258" s="5">
        <v>0.51197784935859703</v>
      </c>
      <c r="IG258" s="5">
        <v>-0.27157146336601701</v>
      </c>
      <c r="IH258" s="5">
        <v>0.441317297475531</v>
      </c>
      <c r="II258" s="5">
        <v>-0.29403075608785201</v>
      </c>
      <c r="IJ258" s="5">
        <v>0.28587660644999302</v>
      </c>
      <c r="IK258" s="5">
        <v>-0.17451483898803699</v>
      </c>
      <c r="IL258" s="5">
        <v>0.39895221682864501</v>
      </c>
      <c r="IM258" s="5">
        <v>-0.101799770571181</v>
      </c>
      <c r="IN258" s="5">
        <v>0.61587976380229603</v>
      </c>
      <c r="IO258" s="5">
        <v>-0.46660357858094098</v>
      </c>
      <c r="IP258" s="5">
        <v>0.50619853263524195</v>
      </c>
      <c r="IQ258" s="5">
        <v>-0.24489133668926799</v>
      </c>
      <c r="IR258" s="5">
        <v>0.16787602742284199</v>
      </c>
      <c r="IS258" s="5">
        <v>9.0926379154636694E-2</v>
      </c>
      <c r="IT258" s="5">
        <v>0.30722473329347499</v>
      </c>
      <c r="IU258" s="5">
        <v>-8.9815739782822798E-2</v>
      </c>
      <c r="IV258" s="5">
        <v>0.42083066923593698</v>
      </c>
      <c r="IW258" s="5">
        <v>-0.25867901186678199</v>
      </c>
      <c r="IX258" s="5">
        <v>1</v>
      </c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</row>
    <row r="259" spans="1:389" x14ac:dyDescent="0.45">
      <c r="A259" s="4" t="str">
        <f ca="1">"NIC / beta2dist in "&amp;CELL("address",'damages-1990'!$K$130)</f>
        <v>NIC / beta2dist in '[BHM betas v3pd.xlsx]damages-1990'!$K$130</v>
      </c>
      <c r="B259" s="6">
        <v>-2.8006073205327799E-2</v>
      </c>
      <c r="C259" s="5">
        <v>6.3582354022093293E-2</v>
      </c>
      <c r="D259" s="5">
        <v>-0.32537160300338203</v>
      </c>
      <c r="E259" s="5">
        <v>0.551736101620664</v>
      </c>
      <c r="F259" s="5">
        <v>-5.0062651457216001E-2</v>
      </c>
      <c r="G259" s="5">
        <v>6.02524596468553E-2</v>
      </c>
      <c r="H259" s="5">
        <v>0.14888256808768899</v>
      </c>
      <c r="I259" s="5">
        <v>-0.188999856065136</v>
      </c>
      <c r="J259" s="5">
        <v>-0.16145895593560899</v>
      </c>
      <c r="K259" s="5">
        <v>0.26320815439117201</v>
      </c>
      <c r="L259" s="5">
        <v>1.1151366346663701E-2</v>
      </c>
      <c r="M259" s="5">
        <v>-3.7390984402628502E-2</v>
      </c>
      <c r="N259" s="5">
        <v>-0.111367603959988</v>
      </c>
      <c r="O259" s="5">
        <v>0.12657953227604801</v>
      </c>
      <c r="P259" s="5">
        <v>-0.30433313965492398</v>
      </c>
      <c r="Q259" s="5">
        <v>0.41604033529774298</v>
      </c>
      <c r="R259" s="5">
        <v>-0.200792063414378</v>
      </c>
      <c r="S259" s="5">
        <v>0.36359940215756698</v>
      </c>
      <c r="T259" s="5">
        <v>-0.113390287381494</v>
      </c>
      <c r="U259" s="5">
        <v>0.128411618667336</v>
      </c>
      <c r="V259" s="5">
        <v>-1.3753222138965101E-2</v>
      </c>
      <c r="W259" s="5">
        <v>-6.7897893291840698E-3</v>
      </c>
      <c r="X259" s="5">
        <v>-0.26673033096573001</v>
      </c>
      <c r="Y259" s="5">
        <v>0.43628936326215001</v>
      </c>
      <c r="Z259" s="5">
        <v>-2.3044868701959501E-2</v>
      </c>
      <c r="AA259" s="5">
        <v>5.6226048301145297E-2</v>
      </c>
      <c r="AB259" s="5">
        <v>-0.29766692075217299</v>
      </c>
      <c r="AC259" s="5">
        <v>0.53437282734209102</v>
      </c>
      <c r="AD259" s="5">
        <v>-0.36001895536039602</v>
      </c>
      <c r="AE259" s="5">
        <v>0.58133831993810803</v>
      </c>
      <c r="AF259" s="5">
        <v>-0.12984137819199901</v>
      </c>
      <c r="AG259" s="5">
        <v>0.26147380987413599</v>
      </c>
      <c r="AH259" s="5">
        <v>-8.3110669326032699E-2</v>
      </c>
      <c r="AI259" s="5">
        <v>0.10766371860384601</v>
      </c>
      <c r="AJ259" s="5">
        <v>-0.19128507268651901</v>
      </c>
      <c r="AK259" s="5">
        <v>0.24406458213121099</v>
      </c>
      <c r="AL259" s="5">
        <v>-8.2263341962112393E-2</v>
      </c>
      <c r="AM259" s="5">
        <v>0.15546082366084499</v>
      </c>
      <c r="AN259" s="5">
        <v>-0.10566228045582</v>
      </c>
      <c r="AO259" s="5">
        <v>0.136317783974989</v>
      </c>
      <c r="AP259" s="5">
        <v>-0.126866315647679</v>
      </c>
      <c r="AQ259" s="5">
        <v>0.155280687076607</v>
      </c>
      <c r="AR259" s="5">
        <v>-0.50292827946766805</v>
      </c>
      <c r="AS259" s="5">
        <v>0.70528878676419904</v>
      </c>
      <c r="AT259" s="5">
        <v>8.1145798044424594E-2</v>
      </c>
      <c r="AU259" s="5">
        <v>-7.3654748458189895E-2</v>
      </c>
      <c r="AV259" s="5">
        <v>-0.29094939370932499</v>
      </c>
      <c r="AW259" s="5">
        <v>0.55149424122150803</v>
      </c>
      <c r="AX259" s="5">
        <v>-0.43772883817333702</v>
      </c>
      <c r="AY259" s="5">
        <v>0.74655502721091205</v>
      </c>
      <c r="AZ259" s="5">
        <v>-0.40908013907720803</v>
      </c>
      <c r="BA259" s="5">
        <v>0.51601909372008103</v>
      </c>
      <c r="BB259" s="5">
        <v>-0.23473506945518999</v>
      </c>
      <c r="BC259" s="5">
        <v>0.433671886366226</v>
      </c>
      <c r="BD259" s="5">
        <v>-5.4500508579502401E-2</v>
      </c>
      <c r="BE259" s="5">
        <v>8.8338683989730202E-2</v>
      </c>
      <c r="BF259" s="5">
        <v>-0.24004072729967599</v>
      </c>
      <c r="BG259" s="5">
        <v>0.36496574885286498</v>
      </c>
      <c r="BH259" s="5">
        <v>-0.30345748750659501</v>
      </c>
      <c r="BI259" s="5">
        <v>0.55551385564428202</v>
      </c>
      <c r="BJ259" s="5">
        <v>4.4098515510934098E-2</v>
      </c>
      <c r="BK259" s="5">
        <v>-0.18860060998293601</v>
      </c>
      <c r="BL259" s="5">
        <v>-0.14174595203997201</v>
      </c>
      <c r="BM259" s="5">
        <v>0.15973718780713</v>
      </c>
      <c r="BN259" s="5">
        <v>9.5325776156404002E-2</v>
      </c>
      <c r="BO259" s="5">
        <v>-0.153236622769411</v>
      </c>
      <c r="BP259" s="5">
        <v>9.3849690419937903E-2</v>
      </c>
      <c r="BQ259" s="5">
        <v>-0.221839646164426</v>
      </c>
      <c r="BR259" s="5">
        <v>-0.41417851516002402</v>
      </c>
      <c r="BS259" s="5">
        <v>0.65499391871348001</v>
      </c>
      <c r="BT259" s="5">
        <v>-0.34243301077638399</v>
      </c>
      <c r="BU259" s="5">
        <v>0.63404167681489298</v>
      </c>
      <c r="BV259" s="5">
        <v>-0.328041051687604</v>
      </c>
      <c r="BW259" s="5">
        <v>0.58354413077248801</v>
      </c>
      <c r="BX259" s="5">
        <v>-0.24079852294979101</v>
      </c>
      <c r="BY259" s="5">
        <v>0.51897319884400905</v>
      </c>
      <c r="BZ259" s="5">
        <v>-0.39208367517900999</v>
      </c>
      <c r="CA259" s="5">
        <v>0.64460376058814395</v>
      </c>
      <c r="CB259" s="5">
        <v>-0.266068811268931</v>
      </c>
      <c r="CC259" s="5">
        <v>0.43600977493825099</v>
      </c>
      <c r="CD259" s="5">
        <v>-0.14718663649020999</v>
      </c>
      <c r="CE259" s="5">
        <v>0.212677763384822</v>
      </c>
      <c r="CF259" s="5">
        <v>-0.64008423101409095</v>
      </c>
      <c r="CG259" s="5">
        <v>0.75675530451287798</v>
      </c>
      <c r="CH259" s="5">
        <v>-0.10085231406195901</v>
      </c>
      <c r="CI259" s="5">
        <v>0.21367382282043601</v>
      </c>
      <c r="CJ259" s="5">
        <v>6.1285584579342002E-2</v>
      </c>
      <c r="CK259" s="5">
        <v>-4.7476803264101697E-2</v>
      </c>
      <c r="CL259" s="5">
        <v>-7.0718662730364701E-2</v>
      </c>
      <c r="CM259" s="5">
        <v>8.5758846004809305E-2</v>
      </c>
      <c r="CN259" s="5">
        <v>-4.8469295719567797E-2</v>
      </c>
      <c r="CO259" s="5">
        <v>7.0117784900450494E-2</v>
      </c>
      <c r="CP259" s="5">
        <v>-0.40097007543505297</v>
      </c>
      <c r="CQ259" s="5">
        <v>0.50308515926897401</v>
      </c>
      <c r="CR259" s="5">
        <v>-0.34980909347911798</v>
      </c>
      <c r="CS259" s="5">
        <v>0.47043579224429499</v>
      </c>
      <c r="CT259" s="5">
        <v>-6.1681501438589303E-2</v>
      </c>
      <c r="CU259" s="5">
        <v>9.1963956774471403E-2</v>
      </c>
      <c r="CV259" s="5">
        <v>-0.44180355516128</v>
      </c>
      <c r="CW259" s="5">
        <v>0.57765582481322497</v>
      </c>
      <c r="CX259" s="5">
        <v>-0.223771631385695</v>
      </c>
      <c r="CY259" s="5">
        <v>0.37757083754838699</v>
      </c>
      <c r="CZ259" s="5">
        <v>-0.37983326713214499</v>
      </c>
      <c r="DA259" s="5">
        <v>0.57736272643643805</v>
      </c>
      <c r="DB259" s="5">
        <v>4.0140453025861597E-2</v>
      </c>
      <c r="DC259" s="5">
        <v>-4.2808164009058097E-2</v>
      </c>
      <c r="DD259" s="5">
        <v>-0.33726651507552602</v>
      </c>
      <c r="DE259" s="5">
        <v>0.47943913722711401</v>
      </c>
      <c r="DF259" s="5">
        <v>-0.31951762450377003</v>
      </c>
      <c r="DG259" s="5">
        <v>0.44005215433868999</v>
      </c>
      <c r="DH259" s="5">
        <v>-0.16872233577812601</v>
      </c>
      <c r="DI259" s="5">
        <v>0.26066616634550799</v>
      </c>
      <c r="DJ259" s="5">
        <v>-0.103980144815117</v>
      </c>
      <c r="DK259" s="5">
        <v>0.12777241496805</v>
      </c>
      <c r="DL259" s="5">
        <v>-0.30130243169929199</v>
      </c>
      <c r="DM259" s="5">
        <v>0.49724230007386999</v>
      </c>
      <c r="DN259" s="5">
        <v>-3.08869705332574E-2</v>
      </c>
      <c r="DO259" s="5">
        <v>1.66527518280414E-2</v>
      </c>
      <c r="DP259" s="5">
        <v>0.142005092966282</v>
      </c>
      <c r="DQ259" s="5">
        <v>-0.118592489129659</v>
      </c>
      <c r="DR259" s="5">
        <v>-3.2052086725400698E-2</v>
      </c>
      <c r="DS259" s="5">
        <v>6.8711202335057994E-2</v>
      </c>
      <c r="DT259" s="5">
        <v>-0.31116032060800802</v>
      </c>
      <c r="DU259" s="5">
        <v>0.329299146893967</v>
      </c>
      <c r="DV259" s="5">
        <v>-0.14970255396541701</v>
      </c>
      <c r="DW259" s="5">
        <v>0.35957248669737502</v>
      </c>
      <c r="DX259" s="5">
        <v>5.4975564808648403E-2</v>
      </c>
      <c r="DY259" s="5">
        <v>-4.2033449986449298E-2</v>
      </c>
      <c r="DZ259" s="5">
        <v>-0.12756167272316901</v>
      </c>
      <c r="EA259" s="5">
        <v>0.170042329496427</v>
      </c>
      <c r="EB259" s="5">
        <v>-0.47533098737587998</v>
      </c>
      <c r="EC259" s="5">
        <v>0.67900746198503203</v>
      </c>
      <c r="ED259" s="5">
        <v>-0.33969458218909498</v>
      </c>
      <c r="EE259" s="5">
        <v>0.56312142608035898</v>
      </c>
      <c r="EF259" s="5">
        <v>-0.353763426408087</v>
      </c>
      <c r="EG259" s="5">
        <v>0.45724800173229702</v>
      </c>
      <c r="EH259" s="5">
        <v>-0.43569554703519597</v>
      </c>
      <c r="EI259" s="5">
        <v>0.62664642333656395</v>
      </c>
      <c r="EJ259" s="5">
        <v>-0.366140683691696</v>
      </c>
      <c r="EK259" s="5">
        <v>0.55795653751573304</v>
      </c>
      <c r="EL259" s="5">
        <v>-0.37710201552896699</v>
      </c>
      <c r="EM259" s="5">
        <v>0.62588642016969298</v>
      </c>
      <c r="EN259" s="5">
        <v>6.0124833161456198E-2</v>
      </c>
      <c r="EO259" s="5">
        <v>-7.3508299753035106E-2</v>
      </c>
      <c r="EP259" s="5">
        <v>-0.42428591821078798</v>
      </c>
      <c r="EQ259" s="5">
        <v>0.516631047353173</v>
      </c>
      <c r="ER259" s="5">
        <v>-0.51080256331790597</v>
      </c>
      <c r="ES259" s="5">
        <v>0.74270221766814604</v>
      </c>
      <c r="ET259" s="5">
        <v>-0.34316021425286902</v>
      </c>
      <c r="EU259" s="5">
        <v>0.56383233599302196</v>
      </c>
      <c r="EV259" s="5">
        <v>-0.50777666701340696</v>
      </c>
      <c r="EW259" s="5">
        <v>0.73081147016098902</v>
      </c>
      <c r="EX259" s="5">
        <v>-9.43166328731464E-2</v>
      </c>
      <c r="EY259" s="5">
        <v>0.268038000497272</v>
      </c>
      <c r="EZ259" s="5">
        <v>-0.60377001893292304</v>
      </c>
      <c r="FA259" s="5">
        <v>0.82298337901132501</v>
      </c>
      <c r="FB259" s="5">
        <v>-9.3171241608272906E-2</v>
      </c>
      <c r="FC259" s="5">
        <v>0.13947726510148001</v>
      </c>
      <c r="FD259" s="5">
        <v>-0.42791226726452702</v>
      </c>
      <c r="FE259" s="5">
        <v>0.60058305082851304</v>
      </c>
      <c r="FF259" s="5">
        <v>-7.3568765174249706E-2</v>
      </c>
      <c r="FG259" s="5">
        <v>0.103986886652638</v>
      </c>
      <c r="FH259" s="5">
        <v>-9.7303335334330998E-2</v>
      </c>
      <c r="FI259" s="5">
        <v>0.30694708926667402</v>
      </c>
      <c r="FJ259" s="5">
        <v>-0.12678278391749601</v>
      </c>
      <c r="FK259" s="5">
        <v>0.23156166210849599</v>
      </c>
      <c r="FL259" s="5">
        <v>0.14417996406313299</v>
      </c>
      <c r="FM259" s="5">
        <v>-0.14742134581758401</v>
      </c>
      <c r="FN259" s="5">
        <v>-9.4711514257690199E-2</v>
      </c>
      <c r="FO259" s="5">
        <v>0.13766755098028499</v>
      </c>
      <c r="FP259" s="5">
        <v>-0.131476763061355</v>
      </c>
      <c r="FQ259" s="5">
        <v>0.16570474015558101</v>
      </c>
      <c r="FR259" s="5">
        <v>0.18643557439644401</v>
      </c>
      <c r="FS259" s="5">
        <v>-0.128257977299128</v>
      </c>
      <c r="FT259" s="5">
        <v>-5.8329702580280897E-2</v>
      </c>
      <c r="FU259" s="5">
        <v>6.9271406210101E-2</v>
      </c>
      <c r="FV259" s="5">
        <v>-6.2579842326611207E-2</v>
      </c>
      <c r="FW259" s="5">
        <v>0.12502665972382801</v>
      </c>
      <c r="FX259" s="5">
        <v>-0.446927353361674</v>
      </c>
      <c r="FY259" s="5">
        <v>0.60078085709440598</v>
      </c>
      <c r="FZ259" s="5">
        <v>-9.0242132435380706E-2</v>
      </c>
      <c r="GA259" s="5">
        <v>0.112263224571909</v>
      </c>
      <c r="GB259" s="5">
        <v>-8.6729178292257694E-2</v>
      </c>
      <c r="GC259" s="5">
        <v>0.13996067362477199</v>
      </c>
      <c r="GD259" s="5">
        <v>4.0326685016235903E-2</v>
      </c>
      <c r="GE259" s="5">
        <v>-3.5919090336167303E-2</v>
      </c>
      <c r="GF259" s="5">
        <v>-0.23909945050467399</v>
      </c>
      <c r="GG259" s="5">
        <v>0.46828392538534003</v>
      </c>
      <c r="GH259" s="5">
        <v>0.253443553813192</v>
      </c>
      <c r="GI259" s="5">
        <v>-0.353529675554143</v>
      </c>
      <c r="GJ259" s="5">
        <v>-0.28985952696624101</v>
      </c>
      <c r="GK259" s="5">
        <v>0.479970458336275</v>
      </c>
      <c r="GL259" s="5">
        <v>-0.32602273617269001</v>
      </c>
      <c r="GM259" s="5">
        <v>0.40929645445262303</v>
      </c>
      <c r="GN259" s="5">
        <v>-6.3957716019692398E-2</v>
      </c>
      <c r="GO259" s="5">
        <v>0.107713860414027</v>
      </c>
      <c r="GP259" s="5">
        <v>-0.23449520789039499</v>
      </c>
      <c r="GQ259" s="5">
        <v>0.29948094385695401</v>
      </c>
      <c r="GR259" s="5">
        <v>-0.27079656764537902</v>
      </c>
      <c r="GS259" s="5">
        <v>0.503381734718929</v>
      </c>
      <c r="GT259" s="5">
        <v>-5.56452254665687E-2</v>
      </c>
      <c r="GU259" s="5">
        <v>6.3385805283673005E-2</v>
      </c>
      <c r="GV259" s="5">
        <v>-0.23856417411441699</v>
      </c>
      <c r="GW259" s="5">
        <v>0.52728365950703704</v>
      </c>
      <c r="GX259" s="5">
        <v>3.0455900322756E-2</v>
      </c>
      <c r="GY259" s="5">
        <v>4.3184104199693797E-2</v>
      </c>
      <c r="GZ259" s="5">
        <v>-0.14275844886661099</v>
      </c>
      <c r="HA259" s="5">
        <v>0.156111733977919</v>
      </c>
      <c r="HB259" s="5">
        <v>-0.19388065293221701</v>
      </c>
      <c r="HC259" s="5">
        <v>0.426213596271586</v>
      </c>
      <c r="HD259" s="5">
        <v>-3.5377267656219603E-2</v>
      </c>
      <c r="HE259" s="5">
        <v>9.44206902572199E-2</v>
      </c>
      <c r="HF259" s="5">
        <v>-8.1873949393804296E-2</v>
      </c>
      <c r="HG259" s="5">
        <v>0.100429005685995</v>
      </c>
      <c r="HH259" s="5">
        <v>-1.6647582384280199E-2</v>
      </c>
      <c r="HI259" s="5">
        <v>3.3852664361880801E-2</v>
      </c>
      <c r="HJ259" s="5">
        <v>-0.10040383831762301</v>
      </c>
      <c r="HK259" s="5">
        <v>0.122214351156648</v>
      </c>
      <c r="HL259" s="5">
        <v>-0.31972697932296101</v>
      </c>
      <c r="HM259" s="5">
        <v>0.477238390335117</v>
      </c>
      <c r="HN259" s="5">
        <v>-0.114912522274284</v>
      </c>
      <c r="HO259" s="5">
        <v>0.16121306555679901</v>
      </c>
      <c r="HP259" s="5">
        <v>0.121565714705424</v>
      </c>
      <c r="HQ259" s="5">
        <v>2.5250630626652601E-2</v>
      </c>
      <c r="HR259" s="5">
        <v>-0.13169124958536199</v>
      </c>
      <c r="HS259" s="5">
        <v>0.32289906073203101</v>
      </c>
      <c r="HT259" s="5">
        <v>-8.8533778564730894E-2</v>
      </c>
      <c r="HU259" s="5">
        <v>0.11136770498969301</v>
      </c>
      <c r="HV259" s="5">
        <v>-0.22384438437152299</v>
      </c>
      <c r="HW259" s="5">
        <v>0.42959569618834398</v>
      </c>
      <c r="HX259" s="5">
        <v>-0.18311965210155301</v>
      </c>
      <c r="HY259" s="5">
        <v>0.42652339540984802</v>
      </c>
      <c r="HZ259" s="5">
        <v>-8.25343967555109E-2</v>
      </c>
      <c r="IA259" s="5">
        <v>0.105916646468461</v>
      </c>
      <c r="IB259" s="5">
        <v>0.30490777493452997</v>
      </c>
      <c r="IC259" s="5">
        <v>-0.38041664366547501</v>
      </c>
      <c r="ID259" s="5">
        <v>-6.5676663136986002E-2</v>
      </c>
      <c r="IE259" s="5">
        <v>0.21867674199227399</v>
      </c>
      <c r="IF259" s="5">
        <v>-0.28026978154733001</v>
      </c>
      <c r="IG259" s="5">
        <v>0.46398357629096498</v>
      </c>
      <c r="IH259" s="5">
        <v>-0.37764375912202403</v>
      </c>
      <c r="II259" s="5">
        <v>0.50036868807927304</v>
      </c>
      <c r="IJ259" s="5">
        <v>-0.162582928255529</v>
      </c>
      <c r="IK259" s="5">
        <v>0.237427257646905</v>
      </c>
      <c r="IL259" s="5">
        <v>-5.6399270469607701E-2</v>
      </c>
      <c r="IM259" s="5">
        <v>0.18917674775566101</v>
      </c>
      <c r="IN259" s="5">
        <v>-0.27587340669613297</v>
      </c>
      <c r="IO259" s="5">
        <v>0.53876991953992004</v>
      </c>
      <c r="IP259" s="5">
        <v>-0.27568592899251698</v>
      </c>
      <c r="IQ259" s="5">
        <v>0.43301758175789901</v>
      </c>
      <c r="IR259" s="5">
        <v>7.0151104769369699E-2</v>
      </c>
      <c r="IS259" s="5">
        <v>-9.5078759547000097E-2</v>
      </c>
      <c r="IT259" s="5">
        <v>-8.3553285058856799E-2</v>
      </c>
      <c r="IU259" s="5">
        <v>0.26744458095267798</v>
      </c>
      <c r="IV259" s="5">
        <v>-0.28163391478615402</v>
      </c>
      <c r="IW259" s="5">
        <v>0.50553947338120397</v>
      </c>
      <c r="IX259" s="5">
        <v>-0.80855484764576502</v>
      </c>
      <c r="IY259" s="5">
        <v>1</v>
      </c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</row>
    <row r="260" spans="1:389" x14ac:dyDescent="0.45">
      <c r="A260" s="4" t="str">
        <f ca="1">"NLD / beta1dist in "&amp;CELL("address",'damages-1990'!$J$131)</f>
        <v>NLD / beta1dist in '[BHM betas v3pd.xlsx]damages-1990'!$J$131</v>
      </c>
      <c r="B260" s="6">
        <v>0.35816967927159599</v>
      </c>
      <c r="C260" s="5">
        <v>-0.132767822859364</v>
      </c>
      <c r="D260" s="5">
        <v>0.148394554110238</v>
      </c>
      <c r="E260" s="5">
        <v>-0.16079060348131</v>
      </c>
      <c r="F260" s="5">
        <v>0.58528039891620598</v>
      </c>
      <c r="G260" s="5">
        <v>-0.439513624956202</v>
      </c>
      <c r="H260" s="5">
        <v>0.66077827805300304</v>
      </c>
      <c r="I260" s="5">
        <v>-0.52085353396172196</v>
      </c>
      <c r="J260" s="5">
        <v>-6.3048804648146106E-2</v>
      </c>
      <c r="K260" s="5">
        <v>2.2951724104528001E-2</v>
      </c>
      <c r="L260" s="5">
        <v>0.24665938651286201</v>
      </c>
      <c r="M260" s="5">
        <v>-4.2473488454525601E-2</v>
      </c>
      <c r="N260" s="5">
        <v>0.44445793125173999</v>
      </c>
      <c r="O260" s="5">
        <v>-0.221764464323152</v>
      </c>
      <c r="P260" s="5">
        <v>0.13622721920335301</v>
      </c>
      <c r="Q260" s="5">
        <v>-0.16635305506102999</v>
      </c>
      <c r="R260" s="5">
        <v>5.9536387336516297E-2</v>
      </c>
      <c r="S260" s="5">
        <v>-9.3484280371013903E-2</v>
      </c>
      <c r="T260" s="5">
        <v>0.74939626853600305</v>
      </c>
      <c r="U260" s="5">
        <v>-0.61878823429225005</v>
      </c>
      <c r="V260" s="5">
        <v>0.40191008054715999</v>
      </c>
      <c r="W260" s="5">
        <v>-0.20096880955865101</v>
      </c>
      <c r="X260" s="5">
        <v>0.183557222842408</v>
      </c>
      <c r="Y260" s="5">
        <v>-0.15405754644514799</v>
      </c>
      <c r="Z260" s="5">
        <v>0.90179218961195096</v>
      </c>
      <c r="AA260" s="5">
        <v>-0.80093878723998102</v>
      </c>
      <c r="AB260" s="5">
        <v>0.159522619930967</v>
      </c>
      <c r="AC260" s="5">
        <v>-0.15043358648371699</v>
      </c>
      <c r="AD260" s="5">
        <v>0.159066163654461</v>
      </c>
      <c r="AE260" s="5">
        <v>-0.140407131637487</v>
      </c>
      <c r="AF260" s="5">
        <v>-9.4887702852837E-2</v>
      </c>
      <c r="AG260" s="5">
        <v>3.6151245848799703E-2</v>
      </c>
      <c r="AH260" s="5">
        <v>0.58825806248858004</v>
      </c>
      <c r="AI260" s="5">
        <v>-0.43545758929199702</v>
      </c>
      <c r="AJ260" s="5">
        <v>-0.15093560895074101</v>
      </c>
      <c r="AK260" s="5">
        <v>7.7971637757876203E-2</v>
      </c>
      <c r="AL260" s="5">
        <v>-5.9960023931374097E-2</v>
      </c>
      <c r="AM260" s="5">
        <v>4.4398466752490401E-2</v>
      </c>
      <c r="AN260" s="5">
        <v>0.70543034315271402</v>
      </c>
      <c r="AO260" s="5">
        <v>-0.55823451522254097</v>
      </c>
      <c r="AP260" s="5">
        <v>0.63113170216556203</v>
      </c>
      <c r="AQ260" s="5">
        <v>-0.48973396722915102</v>
      </c>
      <c r="AR260" s="5">
        <v>-1.2809714846014E-2</v>
      </c>
      <c r="AS260" s="5">
        <v>-4.1192064903983E-2</v>
      </c>
      <c r="AT260" s="5">
        <v>-0.22065792611554699</v>
      </c>
      <c r="AU260" s="5">
        <v>0.221677594745773</v>
      </c>
      <c r="AV260" s="5">
        <v>-1.1421565260615101E-2</v>
      </c>
      <c r="AW260" s="5">
        <v>-5.4331706183341301E-2</v>
      </c>
      <c r="AX260" s="5">
        <v>-5.8136151556220698E-2</v>
      </c>
      <c r="AY260" s="5">
        <v>-5.5136034548799201E-2</v>
      </c>
      <c r="AZ260" s="5">
        <v>5.4690472357829902E-2</v>
      </c>
      <c r="BA260" s="5">
        <v>-6.7264340752664104E-2</v>
      </c>
      <c r="BB260" s="5">
        <v>3.09491661730051E-2</v>
      </c>
      <c r="BC260" s="5">
        <v>-8.9133192239313194E-2</v>
      </c>
      <c r="BD260" s="5">
        <v>0.54331542830124202</v>
      </c>
      <c r="BE260" s="5">
        <v>-0.32111151193885401</v>
      </c>
      <c r="BF260" s="5">
        <v>0.114671331296574</v>
      </c>
      <c r="BG260" s="5">
        <v>-0.174521081722078</v>
      </c>
      <c r="BH260" s="5">
        <v>0.11067521974747301</v>
      </c>
      <c r="BI260" s="5">
        <v>-0.10569434671306099</v>
      </c>
      <c r="BJ260" s="5">
        <v>0.43818161757882401</v>
      </c>
      <c r="BK260" s="5">
        <v>-0.19378216998754799</v>
      </c>
      <c r="BL260" s="5">
        <v>0.73091356382035699</v>
      </c>
      <c r="BM260" s="5">
        <v>-0.59333543405094702</v>
      </c>
      <c r="BN260" s="5">
        <v>0.49098721484833402</v>
      </c>
      <c r="BO260" s="5">
        <v>-0.231249792677648</v>
      </c>
      <c r="BP260" s="5">
        <v>0.61708323605781201</v>
      </c>
      <c r="BQ260" s="5">
        <v>-0.429153762274532</v>
      </c>
      <c r="BR260" s="5">
        <v>0.18593133878822399</v>
      </c>
      <c r="BS260" s="5">
        <v>-0.144133511219602</v>
      </c>
      <c r="BT260" s="5">
        <v>9.7557159282906494E-2</v>
      </c>
      <c r="BU260" s="5">
        <v>-0.10964808107297901</v>
      </c>
      <c r="BV260" s="5">
        <v>0.117598492945363</v>
      </c>
      <c r="BW260" s="5">
        <v>-0.131011925412024</v>
      </c>
      <c r="BX260" s="5">
        <v>0.12461964521449199</v>
      </c>
      <c r="BY260" s="5">
        <v>-0.13455055858185599</v>
      </c>
      <c r="BZ260" s="5">
        <v>1.8239618499364101E-2</v>
      </c>
      <c r="CA260" s="5">
        <v>-8.1757765495254597E-2</v>
      </c>
      <c r="CB260" s="5">
        <v>5.1818121126674499E-2</v>
      </c>
      <c r="CC260" s="5">
        <v>-0.102363358549137</v>
      </c>
      <c r="CD260" s="5">
        <v>3.4406558583146001E-2</v>
      </c>
      <c r="CE260" s="5">
        <v>-3.7147596302787002E-2</v>
      </c>
      <c r="CF260" s="5">
        <v>1.6043802966660602E-2</v>
      </c>
      <c r="CG260" s="5">
        <v>-5.7801261274326499E-2</v>
      </c>
      <c r="CH260" s="5">
        <v>-5.9070992601864703E-3</v>
      </c>
      <c r="CI260" s="5">
        <v>-1.96228923672572E-2</v>
      </c>
      <c r="CJ260" s="5">
        <v>-2.3338505712139999E-2</v>
      </c>
      <c r="CK260" s="5">
        <v>7.9976241341264201E-2</v>
      </c>
      <c r="CL260" s="5">
        <v>0.80287737070228304</v>
      </c>
      <c r="CM260" s="5">
        <v>-0.68084951340410604</v>
      </c>
      <c r="CN260" s="5">
        <v>0.88200222121261795</v>
      </c>
      <c r="CO260" s="5">
        <v>-0.777345557133857</v>
      </c>
      <c r="CP260" s="5">
        <v>-4.13795150836644E-2</v>
      </c>
      <c r="CQ260" s="5">
        <v>4.0257422796471903E-2</v>
      </c>
      <c r="CR260" s="5">
        <v>0.13563611896671199</v>
      </c>
      <c r="CS260" s="5">
        <v>-0.12832096581175001</v>
      </c>
      <c r="CT260" s="5">
        <v>0.82301124223639799</v>
      </c>
      <c r="CU260" s="5">
        <v>-0.69449476752379102</v>
      </c>
      <c r="CV260" s="5">
        <v>0.21569240442572199</v>
      </c>
      <c r="CW260" s="5">
        <v>-0.224081904352117</v>
      </c>
      <c r="CX260" s="5">
        <v>3.8085076333359898E-2</v>
      </c>
      <c r="CY260" s="5">
        <v>-7.3171754520209506E-2</v>
      </c>
      <c r="CZ260" s="5">
        <v>9.8101060340338497E-2</v>
      </c>
      <c r="DA260" s="5">
        <v>-0.16469281954690901</v>
      </c>
      <c r="DB260" s="5">
        <v>-1.63415373758035E-3</v>
      </c>
      <c r="DC260" s="5">
        <v>-7.4221822284949501E-2</v>
      </c>
      <c r="DD260" s="5">
        <v>1.5642432070512E-2</v>
      </c>
      <c r="DE260" s="5">
        <v>3.8838752871292702E-3</v>
      </c>
      <c r="DF260" s="5">
        <v>-0.110286616003669</v>
      </c>
      <c r="DG260" s="5">
        <v>0.12430659979250699</v>
      </c>
      <c r="DH260" s="5">
        <v>0.46270780608499201</v>
      </c>
      <c r="DI260" s="5">
        <v>-0.330899446733182</v>
      </c>
      <c r="DJ260" s="5">
        <v>0.61940401989174199</v>
      </c>
      <c r="DK260" s="5">
        <v>-0.48607000391602401</v>
      </c>
      <c r="DL260" s="5">
        <v>7.8190883257296104E-2</v>
      </c>
      <c r="DM260" s="5">
        <v>-1.86482169420897E-2</v>
      </c>
      <c r="DN260" s="5">
        <v>0.58510626864267801</v>
      </c>
      <c r="DO260" s="5">
        <v>-0.44572422129552203</v>
      </c>
      <c r="DP260" s="5">
        <v>-1.07875215909293E-2</v>
      </c>
      <c r="DQ260" s="5">
        <v>6.7027862114046405E-2</v>
      </c>
      <c r="DR260" s="5">
        <v>0.81262167038861399</v>
      </c>
      <c r="DS260" s="5">
        <v>-0.73826210655020397</v>
      </c>
      <c r="DT260" s="5">
        <v>-0.17482277379550201</v>
      </c>
      <c r="DU260" s="5">
        <v>0.176591123526495</v>
      </c>
      <c r="DV260" s="5">
        <v>0.18876248993740699</v>
      </c>
      <c r="DW260" s="5">
        <v>-0.19971564410091699</v>
      </c>
      <c r="DX260" s="5">
        <v>0.74758824357345499</v>
      </c>
      <c r="DY260" s="5">
        <v>-0.57193827100585304</v>
      </c>
      <c r="DZ260" s="5">
        <v>0.51183208231187505</v>
      </c>
      <c r="EA260" s="5">
        <v>-0.31363780195268898</v>
      </c>
      <c r="EB260" s="5">
        <v>0.12828715033943899</v>
      </c>
      <c r="EC260" s="5">
        <v>-0.122020134391711</v>
      </c>
      <c r="ED260" s="5">
        <v>0.171435435396565</v>
      </c>
      <c r="EE260" s="5">
        <v>-0.14646880636486201</v>
      </c>
      <c r="EF260" s="5">
        <v>0.14397628735958201</v>
      </c>
      <c r="EG260" s="5">
        <v>-0.14919172328448499</v>
      </c>
      <c r="EH260" s="5">
        <v>1.70542644117204E-3</v>
      </c>
      <c r="EI260" s="5">
        <v>-1.33908956201629E-2</v>
      </c>
      <c r="EJ260" s="5">
        <v>3.5384288581424402E-2</v>
      </c>
      <c r="EK260" s="5">
        <v>-5.58632864383291E-2</v>
      </c>
      <c r="EL260" s="5">
        <v>1.2910288360284201E-2</v>
      </c>
      <c r="EM260" s="5">
        <v>3.82651132127894E-3</v>
      </c>
      <c r="EN260" s="5">
        <v>0.235980417597935</v>
      </c>
      <c r="EO260" s="5">
        <v>-8.2543669083827501E-2</v>
      </c>
      <c r="EP260" s="5">
        <v>7.8223987516167798E-2</v>
      </c>
      <c r="EQ260" s="5">
        <v>-0.10262456268794</v>
      </c>
      <c r="ER260" s="5">
        <v>4.3603393883891298E-2</v>
      </c>
      <c r="ES260" s="5">
        <v>-9.1192522130128406E-2</v>
      </c>
      <c r="ET260" s="5">
        <v>3.5257574121539903E-2</v>
      </c>
      <c r="EU260" s="5">
        <v>-0.114317236347144</v>
      </c>
      <c r="EV260" s="5">
        <v>-3.8052337209381497E-2</v>
      </c>
      <c r="EW260" s="5">
        <v>-7.9401701109348494E-2</v>
      </c>
      <c r="EX260" s="5">
        <v>-3.9586661327178502E-2</v>
      </c>
      <c r="EY260" s="5">
        <v>-3.9302314379074298E-2</v>
      </c>
      <c r="EZ260" s="5">
        <v>4.2023082877584203E-2</v>
      </c>
      <c r="FA260" s="5">
        <v>-7.7503526977154097E-2</v>
      </c>
      <c r="FB260" s="5">
        <v>0.69078258998293596</v>
      </c>
      <c r="FC260" s="5">
        <v>-0.57578758151797904</v>
      </c>
      <c r="FD260" s="5">
        <v>0.175703875168535</v>
      </c>
      <c r="FE260" s="5">
        <v>-0.192384989775301</v>
      </c>
      <c r="FF260" s="5">
        <v>0.70522944854689595</v>
      </c>
      <c r="FG260" s="5">
        <v>-0.57530091878382295</v>
      </c>
      <c r="FH260" s="5">
        <v>-6.9835727534338601E-2</v>
      </c>
      <c r="FI260" s="5">
        <v>0.120120758078802</v>
      </c>
      <c r="FJ260" s="5">
        <v>0.12525766547158701</v>
      </c>
      <c r="FK260" s="5">
        <v>-0.16712913792477899</v>
      </c>
      <c r="FL260" s="5">
        <v>0.52015744221664095</v>
      </c>
      <c r="FM260" s="5">
        <v>-0.25374889051319499</v>
      </c>
      <c r="FN260" s="5">
        <v>0.15816761401079801</v>
      </c>
      <c r="FO260" s="5">
        <v>-2.5562413095631498E-2</v>
      </c>
      <c r="FP260" s="5">
        <v>-5.66372103675538E-2</v>
      </c>
      <c r="FQ260" s="5">
        <v>8.0658724650726599E-2</v>
      </c>
      <c r="FR260" s="5">
        <v>0.184528477577559</v>
      </c>
      <c r="FS260" s="5">
        <v>9.7613706745464296E-2</v>
      </c>
      <c r="FT260" s="5">
        <v>-2.1289109359835801E-2</v>
      </c>
      <c r="FU260" s="5">
        <v>3.4698807665105302E-2</v>
      </c>
      <c r="FV260" s="5">
        <v>0.60459699062138195</v>
      </c>
      <c r="FW260" s="5">
        <v>-0.51824804180112904</v>
      </c>
      <c r="FX260" s="5">
        <v>5.5749063204667902E-2</v>
      </c>
      <c r="FY260" s="5">
        <v>-9.11986843518197E-2</v>
      </c>
      <c r="FZ260" s="5">
        <v>2.84661326215058E-2</v>
      </c>
      <c r="GA260" s="5">
        <v>-2.8779756519644998E-3</v>
      </c>
      <c r="GB260" s="5">
        <v>0.70763938426134398</v>
      </c>
      <c r="GC260" s="5">
        <v>-0.595564288445257</v>
      </c>
      <c r="GD260" s="5">
        <v>0.56221255404421</v>
      </c>
      <c r="GE260" s="5">
        <v>-0.39496017549127699</v>
      </c>
      <c r="GF260" s="5">
        <v>2.5484241742146099E-2</v>
      </c>
      <c r="GG260" s="5">
        <v>-2.2979839565525701E-2</v>
      </c>
      <c r="GH260" s="5">
        <v>0.338642357508254</v>
      </c>
      <c r="GI260" s="5">
        <v>-7.57877645565289E-2</v>
      </c>
      <c r="GJ260" s="5">
        <v>-4.1449940926854098E-2</v>
      </c>
      <c r="GK260" s="5">
        <v>-4.5634573532754602E-2</v>
      </c>
      <c r="GL260" s="5">
        <v>0.14635454818011101</v>
      </c>
      <c r="GM260" s="5">
        <v>-0.16082574300317101</v>
      </c>
      <c r="GN260" s="5">
        <v>0.67010429323026</v>
      </c>
      <c r="GO260" s="5">
        <v>-0.57560390731977795</v>
      </c>
      <c r="GP260" s="5">
        <v>-0.10372345770321099</v>
      </c>
      <c r="GQ260" s="5">
        <v>4.7973757623079698E-2</v>
      </c>
      <c r="GR260" s="5">
        <v>3.3177655742347399E-2</v>
      </c>
      <c r="GS260" s="5">
        <v>-7.5674356500427295E-2</v>
      </c>
      <c r="GT260" s="5">
        <v>0.18888744869395599</v>
      </c>
      <c r="GU260" s="5">
        <v>-5.0080532923943103E-3</v>
      </c>
      <c r="GV260" s="5">
        <v>0.19924025017146699</v>
      </c>
      <c r="GW260" s="5">
        <v>-0.189377525768678</v>
      </c>
      <c r="GX260" s="5">
        <v>3.9631526948356401E-2</v>
      </c>
      <c r="GY260" s="5">
        <v>-7.9527716404048696E-2</v>
      </c>
      <c r="GZ260" s="5">
        <v>0.73212830676442398</v>
      </c>
      <c r="HA260" s="5">
        <v>-0.60340623921101499</v>
      </c>
      <c r="HB260" s="5">
        <v>6.8331547855051298E-3</v>
      </c>
      <c r="HC260" s="5">
        <v>-7.9388619098127305E-2</v>
      </c>
      <c r="HD260" s="5">
        <v>0.38579978178986102</v>
      </c>
      <c r="HE260" s="5">
        <v>-7.5526810411391407E-2</v>
      </c>
      <c r="HF260" s="5">
        <v>0.66577275303042105</v>
      </c>
      <c r="HG260" s="5">
        <v>-0.52637792384984206</v>
      </c>
      <c r="HH260" s="5">
        <v>0.88712760997538398</v>
      </c>
      <c r="HI260" s="5">
        <v>-0.78610240510441198</v>
      </c>
      <c r="HJ260" s="5">
        <v>0.64878637526628802</v>
      </c>
      <c r="HK260" s="5">
        <v>-0.51283128898907704</v>
      </c>
      <c r="HL260" s="5">
        <v>8.64149835989826E-2</v>
      </c>
      <c r="HM260" s="5">
        <v>9.8038889907054796E-3</v>
      </c>
      <c r="HN260" s="5">
        <v>0.66157961640537799</v>
      </c>
      <c r="HO260" s="5">
        <v>-0.54089256067718505</v>
      </c>
      <c r="HP260" s="5">
        <v>6.9848548521479106E-2</v>
      </c>
      <c r="HQ260" s="5">
        <v>-9.3097303944952206E-2</v>
      </c>
      <c r="HR260" s="5">
        <v>6.0907254170748E-2</v>
      </c>
      <c r="HS260" s="5">
        <v>-6.6774298198415502E-2</v>
      </c>
      <c r="HT260" s="5">
        <v>0.62434515763351905</v>
      </c>
      <c r="HU260" s="5">
        <v>-0.45208725115203902</v>
      </c>
      <c r="HV260" s="5">
        <v>0.10999633944296699</v>
      </c>
      <c r="HW260" s="5">
        <v>-0.13352731192023301</v>
      </c>
      <c r="HX260" s="5">
        <v>4.4679311957015001E-2</v>
      </c>
      <c r="HY260" s="5">
        <v>-4.48451969022182E-2</v>
      </c>
      <c r="HZ260" s="5">
        <v>0.681258521620142</v>
      </c>
      <c r="IA260" s="5">
        <v>-0.523331340648579</v>
      </c>
      <c r="IB260" s="5">
        <v>0.50122421073784795</v>
      </c>
      <c r="IC260" s="5">
        <v>-0.37444758024804098</v>
      </c>
      <c r="ID260" s="5">
        <v>0.14956047788488</v>
      </c>
      <c r="IE260" s="5">
        <v>-0.280415108643087</v>
      </c>
      <c r="IF260" s="5">
        <v>-1.1679551860026701E-2</v>
      </c>
      <c r="IG260" s="5">
        <v>3.85836863874914E-3</v>
      </c>
      <c r="IH260" s="5">
        <v>9.7513826275545404E-2</v>
      </c>
      <c r="II260" s="5">
        <v>-0.11178016470844</v>
      </c>
      <c r="IJ260" s="5">
        <v>1.75355220183094E-2</v>
      </c>
      <c r="IK260" s="5">
        <v>-9.8676554147667395E-3</v>
      </c>
      <c r="IL260" s="5">
        <v>4.0888383907045397E-2</v>
      </c>
      <c r="IM260" s="5">
        <v>-0.106150016686776</v>
      </c>
      <c r="IN260" s="5">
        <v>-3.9502601971835902E-2</v>
      </c>
      <c r="IO260" s="5">
        <v>4.24388886744234E-2</v>
      </c>
      <c r="IP260" s="5">
        <v>0.19968834290749701</v>
      </c>
      <c r="IQ260" s="5">
        <v>-0.230818857066482</v>
      </c>
      <c r="IR260" s="5">
        <v>-8.0655880291842105E-2</v>
      </c>
      <c r="IS260" s="5">
        <v>8.7823330746171796E-2</v>
      </c>
      <c r="IT260" s="5">
        <v>0.124962087904567</v>
      </c>
      <c r="IU260" s="5">
        <v>-0.16287621011639</v>
      </c>
      <c r="IV260" s="5">
        <v>0.246803012824205</v>
      </c>
      <c r="IW260" s="5">
        <v>-0.236967182222835</v>
      </c>
      <c r="IX260" s="5">
        <v>1.6252896585987699E-2</v>
      </c>
      <c r="IY260" s="5">
        <v>-6.0854593152800902E-2</v>
      </c>
      <c r="IZ260" s="5">
        <v>1</v>
      </c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</row>
    <row r="261" spans="1:389" x14ac:dyDescent="0.45">
      <c r="A261" s="4" t="str">
        <f ca="1">"NLD / beta2dist in "&amp;CELL("address",'damages-1990'!$K$131)</f>
        <v>NLD / beta2dist in '[BHM betas v3pd.xlsx]damages-1990'!$K$131</v>
      </c>
      <c r="B261" s="6">
        <v>-7.3342613872544996E-2</v>
      </c>
      <c r="C261" s="5">
        <v>5.5145470280794598E-2</v>
      </c>
      <c r="D261" s="5">
        <v>-8.04335781998127E-2</v>
      </c>
      <c r="E261" s="5">
        <v>0.200708185005462</v>
      </c>
      <c r="F261" s="5">
        <v>-0.34147779047145099</v>
      </c>
      <c r="G261" s="5">
        <v>0.41389298652641798</v>
      </c>
      <c r="H261" s="5">
        <v>-0.58780644654667802</v>
      </c>
      <c r="I261" s="5">
        <v>0.60655856796104202</v>
      </c>
      <c r="J261" s="5">
        <v>0.16764030578491901</v>
      </c>
      <c r="K261" s="5">
        <v>-5.0529180345301399E-2</v>
      </c>
      <c r="L261" s="5">
        <v>-1.54337377330723E-2</v>
      </c>
      <c r="M261" s="5">
        <v>-1.20168909091782E-2</v>
      </c>
      <c r="N261" s="5">
        <v>-0.26287626797984398</v>
      </c>
      <c r="O261" s="5">
        <v>0.22206008573271899</v>
      </c>
      <c r="P261" s="5">
        <v>-0.11845925994419</v>
      </c>
      <c r="Q261" s="5">
        <v>0.194809449868384</v>
      </c>
      <c r="R261" s="5">
        <v>7.0798036297410605E-2</v>
      </c>
      <c r="S261" s="5">
        <v>7.86163449934459E-2</v>
      </c>
      <c r="T261" s="5">
        <v>-0.67118265973765001</v>
      </c>
      <c r="U261" s="5">
        <v>0.71112997411491297</v>
      </c>
      <c r="V261" s="5">
        <v>-0.128992779647919</v>
      </c>
      <c r="W261" s="5">
        <v>0.138627941079081</v>
      </c>
      <c r="X261" s="5">
        <v>-8.7996559903359695E-2</v>
      </c>
      <c r="Y261" s="5">
        <v>0.17409670737563501</v>
      </c>
      <c r="Z261" s="5">
        <v>-0.76737240987909106</v>
      </c>
      <c r="AA261" s="5">
        <v>0.89220283989721305</v>
      </c>
      <c r="AB261" s="5">
        <v>-0.154374184685242</v>
      </c>
      <c r="AC261" s="5">
        <v>0.19291301434713001</v>
      </c>
      <c r="AD261" s="5">
        <v>-0.14232105901950701</v>
      </c>
      <c r="AE261" s="5">
        <v>0.180196131818528</v>
      </c>
      <c r="AF261" s="5">
        <v>0.15973186248996499</v>
      </c>
      <c r="AG261" s="5">
        <v>-2.73711666064438E-2</v>
      </c>
      <c r="AH261" s="5">
        <v>-0.38248489048261503</v>
      </c>
      <c r="AI261" s="5">
        <v>0.45139855172132598</v>
      </c>
      <c r="AJ261" s="5">
        <v>0.26628322510769298</v>
      </c>
      <c r="AK261" s="5">
        <v>-0.11399252879494901</v>
      </c>
      <c r="AL261" s="5">
        <v>0.12837609750695</v>
      </c>
      <c r="AM261" s="5">
        <v>-7.1509852901780704E-2</v>
      </c>
      <c r="AN261" s="5">
        <v>-0.52824220230761398</v>
      </c>
      <c r="AO261" s="5">
        <v>0.59748630843492301</v>
      </c>
      <c r="AP261" s="5">
        <v>-0.56131859386626204</v>
      </c>
      <c r="AQ261" s="5">
        <v>0.58293904803906704</v>
      </c>
      <c r="AR261" s="5">
        <v>6.1589389298830503E-2</v>
      </c>
      <c r="AS261" s="5">
        <v>6.5326783361405294E-2</v>
      </c>
      <c r="AT261" s="5">
        <v>0.32755399795641998</v>
      </c>
      <c r="AU261" s="5">
        <v>-0.28542269782829799</v>
      </c>
      <c r="AV261" s="5">
        <v>0.130880760459547</v>
      </c>
      <c r="AW261" s="5">
        <v>4.4831320649553197E-2</v>
      </c>
      <c r="AX261" s="5">
        <v>0.13508330946400701</v>
      </c>
      <c r="AY261" s="5">
        <v>6.6661248291752503E-2</v>
      </c>
      <c r="AZ261" s="5">
        <v>-2.88623197985978E-2</v>
      </c>
      <c r="BA261" s="5">
        <v>8.2633723802539596E-2</v>
      </c>
      <c r="BB261" s="5">
        <v>2.7885184926151899E-2</v>
      </c>
      <c r="BC261" s="5">
        <v>0.118298046500228</v>
      </c>
      <c r="BD261" s="5">
        <v>-0.278279277898621</v>
      </c>
      <c r="BE261" s="5">
        <v>0.28058630373221999</v>
      </c>
      <c r="BF261" s="5">
        <v>-6.20152004767918E-2</v>
      </c>
      <c r="BG261" s="5">
        <v>0.21484028174189501</v>
      </c>
      <c r="BH261" s="5">
        <v>-5.5439204755413599E-2</v>
      </c>
      <c r="BI261" s="5">
        <v>0.13011259095989899</v>
      </c>
      <c r="BJ261" s="5">
        <v>-0.37252330640905701</v>
      </c>
      <c r="BK261" s="5">
        <v>0.215734063969172</v>
      </c>
      <c r="BL261" s="5">
        <v>-0.65531689498058998</v>
      </c>
      <c r="BM261" s="5">
        <v>0.68609638264529504</v>
      </c>
      <c r="BN261" s="5">
        <v>-0.25254830588928301</v>
      </c>
      <c r="BO261" s="5">
        <v>0.196226201662242</v>
      </c>
      <c r="BP261" s="5">
        <v>-0.40191703005766199</v>
      </c>
      <c r="BQ261" s="5">
        <v>0.41004165383122598</v>
      </c>
      <c r="BR261" s="5">
        <v>-0.16558727989268801</v>
      </c>
      <c r="BS261" s="5">
        <v>0.18139377088116501</v>
      </c>
      <c r="BT261" s="5">
        <v>-2.1726875250014301E-2</v>
      </c>
      <c r="BU261" s="5">
        <v>0.126336182971512</v>
      </c>
      <c r="BV261" s="5">
        <v>-5.9826924957977E-2</v>
      </c>
      <c r="BW261" s="5">
        <v>0.15710526401951999</v>
      </c>
      <c r="BX261" s="5">
        <v>-9.1311718681452103E-2</v>
      </c>
      <c r="BY261" s="5">
        <v>0.17200413917686899</v>
      </c>
      <c r="BZ261" s="5">
        <v>2.6096582155975101E-2</v>
      </c>
      <c r="CA261" s="5">
        <v>0.10920649077656</v>
      </c>
      <c r="CB261" s="5">
        <v>-2.31033010263791E-2</v>
      </c>
      <c r="CC261" s="5">
        <v>0.129960771724519</v>
      </c>
      <c r="CD261" s="5">
        <v>3.73392819395627E-2</v>
      </c>
      <c r="CE261" s="5">
        <v>2.6230067391515201E-2</v>
      </c>
      <c r="CF261" s="5">
        <v>1.1699591949361E-2</v>
      </c>
      <c r="CG261" s="5">
        <v>7.5793290300084304E-2</v>
      </c>
      <c r="CH261" s="5">
        <v>5.8616794528757198E-2</v>
      </c>
      <c r="CI261" s="5">
        <v>8.5302945988042396E-3</v>
      </c>
      <c r="CJ261" s="5">
        <v>0.200796519139369</v>
      </c>
      <c r="CK261" s="5">
        <v>-0.137902988889027</v>
      </c>
      <c r="CL261" s="5">
        <v>-0.69748912194815205</v>
      </c>
      <c r="CM261" s="5">
        <v>0.77380268756267501</v>
      </c>
      <c r="CN261" s="5">
        <v>-0.76005055807139799</v>
      </c>
      <c r="CO261" s="5">
        <v>0.87319485738091596</v>
      </c>
      <c r="CP261" s="5">
        <v>8.0300219277454704E-2</v>
      </c>
      <c r="CQ261" s="5">
        <v>-4.66047449862865E-2</v>
      </c>
      <c r="CR261" s="5">
        <v>-9.0683441189282094E-2</v>
      </c>
      <c r="CS261" s="5">
        <v>0.14902637189033899</v>
      </c>
      <c r="CT261" s="5">
        <v>-0.75916128276533201</v>
      </c>
      <c r="CU261" s="5">
        <v>0.797851336207543</v>
      </c>
      <c r="CV261" s="5">
        <v>-0.218119168004866</v>
      </c>
      <c r="CW261" s="5">
        <v>0.28818029983142501</v>
      </c>
      <c r="CX261" s="5">
        <v>6.0271075152980899E-2</v>
      </c>
      <c r="CY261" s="5">
        <v>8.1117697933704797E-2</v>
      </c>
      <c r="CZ261" s="5">
        <v>-5.1659334616692199E-2</v>
      </c>
      <c r="DA261" s="5">
        <v>0.20692848866514801</v>
      </c>
      <c r="DB261" s="5">
        <v>0.13627914081241099</v>
      </c>
      <c r="DC261" s="5">
        <v>5.8863648565748203E-2</v>
      </c>
      <c r="DD261" s="5">
        <v>3.6001766385595498E-2</v>
      </c>
      <c r="DE261" s="5">
        <v>2.88573700630658E-3</v>
      </c>
      <c r="DF261" s="5">
        <v>0.248802509938686</v>
      </c>
      <c r="DG261" s="5">
        <v>-0.18435956975422499</v>
      </c>
      <c r="DH261" s="5">
        <v>-0.20266473551033201</v>
      </c>
      <c r="DI261" s="5">
        <v>0.27278554476157801</v>
      </c>
      <c r="DJ261" s="5">
        <v>-0.571192552399716</v>
      </c>
      <c r="DK261" s="5">
        <v>0.581308227816423</v>
      </c>
      <c r="DL261" s="5">
        <v>2.0727369601354399E-2</v>
      </c>
      <c r="DM261" s="5">
        <v>1.32289361646146E-2</v>
      </c>
      <c r="DN261" s="5">
        <v>-0.55884533429252903</v>
      </c>
      <c r="DO261" s="5">
        <v>0.544860707879402</v>
      </c>
      <c r="DP261" s="5">
        <v>8.8405927022462694E-2</v>
      </c>
      <c r="DQ261" s="5">
        <v>-6.3298057731159693E-2</v>
      </c>
      <c r="DR261" s="5">
        <v>-0.61441484700849303</v>
      </c>
      <c r="DS261" s="5">
        <v>0.774389955657656</v>
      </c>
      <c r="DT261" s="5">
        <v>0.218824604065669</v>
      </c>
      <c r="DU261" s="5">
        <v>-0.198106401821776</v>
      </c>
      <c r="DV261" s="5">
        <v>-0.17817322117530199</v>
      </c>
      <c r="DW261" s="5">
        <v>0.24867496051844201</v>
      </c>
      <c r="DX261" s="5">
        <v>-0.63098178368939095</v>
      </c>
      <c r="DY261" s="5">
        <v>0.64304266445316705</v>
      </c>
      <c r="DZ261" s="5">
        <v>-0.334663829607321</v>
      </c>
      <c r="EA261" s="5">
        <v>0.337967046804584</v>
      </c>
      <c r="EB261" s="5">
        <v>-0.107611118883242</v>
      </c>
      <c r="EC261" s="5">
        <v>0.15803381721606399</v>
      </c>
      <c r="ED261" s="5">
        <v>-0.13383150533886001</v>
      </c>
      <c r="EE261" s="5">
        <v>0.18156408408430999</v>
      </c>
      <c r="EF261" s="5">
        <v>-0.114917322385428</v>
      </c>
      <c r="EG261" s="5">
        <v>0.17544557887145501</v>
      </c>
      <c r="EH261" s="5">
        <v>7.3638620500266302E-2</v>
      </c>
      <c r="EI261" s="5">
        <v>1.6594514468496298E-2</v>
      </c>
      <c r="EJ261" s="5">
        <v>3.5820605668832002E-2</v>
      </c>
      <c r="EK261" s="5">
        <v>6.7925812421330403E-2</v>
      </c>
      <c r="EL261" s="5">
        <v>6.7322395941785504E-2</v>
      </c>
      <c r="EM261" s="5">
        <v>-9.9241911510628902E-3</v>
      </c>
      <c r="EN261" s="5">
        <v>-6.9080829657513299E-3</v>
      </c>
      <c r="EO261" s="5">
        <v>3.4890763781010699E-2</v>
      </c>
      <c r="EP261" s="5">
        <v>-5.8429513092179003E-2</v>
      </c>
      <c r="EQ261" s="5">
        <v>0.12899400345905199</v>
      </c>
      <c r="ER261" s="5">
        <v>2.68249600183273E-2</v>
      </c>
      <c r="ES261" s="5">
        <v>0.116335265578539</v>
      </c>
      <c r="ET261" s="5">
        <v>1.19958249563637E-2</v>
      </c>
      <c r="EU261" s="5">
        <v>0.13606608756871399</v>
      </c>
      <c r="EV261" s="5">
        <v>9.1895363200940897E-2</v>
      </c>
      <c r="EW261" s="5">
        <v>9.7272275860935203E-2</v>
      </c>
      <c r="EX261" s="5">
        <v>0.123896017732943</v>
      </c>
      <c r="EY261" s="5">
        <v>4.82036535653722E-2</v>
      </c>
      <c r="EZ261" s="5">
        <v>9.6725597204395403E-3</v>
      </c>
      <c r="FA261" s="5">
        <v>0.115251017297323</v>
      </c>
      <c r="FB261" s="5">
        <v>-0.47264426366976198</v>
      </c>
      <c r="FC261" s="5">
        <v>0.57968129539309199</v>
      </c>
      <c r="FD261" s="5">
        <v>-0.156808247803988</v>
      </c>
      <c r="FE261" s="5">
        <v>0.235910359984842</v>
      </c>
      <c r="FF261" s="5">
        <v>-0.517317978982472</v>
      </c>
      <c r="FG261" s="5">
        <v>0.60642559489637604</v>
      </c>
      <c r="FH261" s="5">
        <v>0.161725704233079</v>
      </c>
      <c r="FI261" s="5">
        <v>-0.164282958154153</v>
      </c>
      <c r="FJ261" s="5">
        <v>-5.0693844318205603E-2</v>
      </c>
      <c r="FK261" s="5">
        <v>0.198667559376417</v>
      </c>
      <c r="FL261" s="5">
        <v>-0.36371632686982303</v>
      </c>
      <c r="FM261" s="5">
        <v>0.28047382314256297</v>
      </c>
      <c r="FN261" s="5">
        <v>3.9607514644922001E-2</v>
      </c>
      <c r="FO261" s="5">
        <v>-1.3668116377087199E-2</v>
      </c>
      <c r="FP261" s="5">
        <v>0.198260849715159</v>
      </c>
      <c r="FQ261" s="5">
        <v>-0.12012482024828799</v>
      </c>
      <c r="FR261" s="5">
        <v>-9.0465650679331502E-2</v>
      </c>
      <c r="FS261" s="5">
        <v>-0.12128025661342599</v>
      </c>
      <c r="FT261" s="5">
        <v>0.200087409142476</v>
      </c>
      <c r="FU261" s="5">
        <v>-7.7935585043200806E-2</v>
      </c>
      <c r="FV261" s="5">
        <v>-0.34831860237281198</v>
      </c>
      <c r="FW261" s="5">
        <v>0.46856326909448498</v>
      </c>
      <c r="FX261" s="5">
        <v>1.5056228624642501E-3</v>
      </c>
      <c r="FY261" s="5">
        <v>9.6438295275812103E-2</v>
      </c>
      <c r="FZ261" s="5">
        <v>0.15940507841339399</v>
      </c>
      <c r="GA261" s="5">
        <v>-3.83765212876018E-2</v>
      </c>
      <c r="GB261" s="5">
        <v>-0.49530476806731499</v>
      </c>
      <c r="GC261" s="5">
        <v>0.62256849387569302</v>
      </c>
      <c r="GD261" s="5">
        <v>-0.46217960562080901</v>
      </c>
      <c r="GE261" s="5">
        <v>0.46493792666908101</v>
      </c>
      <c r="GF261" s="5">
        <v>6.7893860432574907E-2</v>
      </c>
      <c r="GG261" s="5">
        <v>1.95616497604638E-2</v>
      </c>
      <c r="GH261" s="5">
        <v>-0.18966084932493699</v>
      </c>
      <c r="GI261" s="5">
        <v>3.7037186140661801E-2</v>
      </c>
      <c r="GJ261" s="5">
        <v>9.1527892960818105E-2</v>
      </c>
      <c r="GK261" s="5">
        <v>5.4313883807909302E-2</v>
      </c>
      <c r="GL261" s="5">
        <v>-0.13945248172365299</v>
      </c>
      <c r="GM261" s="5">
        <v>0.20262644376628</v>
      </c>
      <c r="GN261" s="5">
        <v>-0.41447568419164299</v>
      </c>
      <c r="GO261" s="5">
        <v>0.53734272267157002</v>
      </c>
      <c r="GP261" s="5">
        <v>0.20713215641618901</v>
      </c>
      <c r="GQ261" s="5">
        <v>-6.4652434073148496E-2</v>
      </c>
      <c r="GR261" s="5">
        <v>3.9613562433738501E-2</v>
      </c>
      <c r="GS261" s="5">
        <v>8.7213847886776094E-2</v>
      </c>
      <c r="GT261" s="5">
        <v>4.8316508030114502E-2</v>
      </c>
      <c r="GU261" s="5">
        <v>-4.8399819524651999E-2</v>
      </c>
      <c r="GV261" s="5">
        <v>-0.17084681609623001</v>
      </c>
      <c r="GW261" s="5">
        <v>0.22474976971677399</v>
      </c>
      <c r="GX261" s="5">
        <v>6.4171784832811302E-2</v>
      </c>
      <c r="GY261" s="5">
        <v>7.7900689833866096E-2</v>
      </c>
      <c r="GZ261" s="5">
        <v>-0.66432072005527898</v>
      </c>
      <c r="HA261" s="5">
        <v>0.69928081563671196</v>
      </c>
      <c r="HB261" s="5">
        <v>7.4127491024328807E-2</v>
      </c>
      <c r="HC261" s="5">
        <v>7.2813156512400598E-2</v>
      </c>
      <c r="HD261" s="5">
        <v>-8.2731989907396206E-2</v>
      </c>
      <c r="HE261" s="5">
        <v>-9.7377003258250997E-3</v>
      </c>
      <c r="HF261" s="5">
        <v>-0.59932337194944696</v>
      </c>
      <c r="HG261" s="5">
        <v>0.61847843479079501</v>
      </c>
      <c r="HH261" s="5">
        <v>-0.74991368727682695</v>
      </c>
      <c r="HI261" s="5">
        <v>0.870050545858152</v>
      </c>
      <c r="HJ261" s="5">
        <v>-0.60304233883588798</v>
      </c>
      <c r="HK261" s="5">
        <v>0.61356661791105105</v>
      </c>
      <c r="HL261" s="5">
        <v>0.12848416444285801</v>
      </c>
      <c r="HM261" s="5">
        <v>-7.8127830294159706E-2</v>
      </c>
      <c r="HN261" s="5">
        <v>-0.498340275991279</v>
      </c>
      <c r="HO261" s="5">
        <v>0.60100481383544402</v>
      </c>
      <c r="HP261" s="5">
        <v>4.5351367713234898E-2</v>
      </c>
      <c r="HQ261" s="5">
        <v>9.6535985677556793E-2</v>
      </c>
      <c r="HR261" s="5">
        <v>9.4665700787785606E-2</v>
      </c>
      <c r="HS261" s="5">
        <v>2.3001382897444099E-2</v>
      </c>
      <c r="HT261" s="5">
        <v>-0.41146652819192803</v>
      </c>
      <c r="HU261" s="5">
        <v>0.46000678775925502</v>
      </c>
      <c r="HV261" s="5">
        <v>-7.7618047055097103E-2</v>
      </c>
      <c r="HW261" s="5">
        <v>0.168226579779268</v>
      </c>
      <c r="HX261" s="5">
        <v>5.5976858911124902E-2</v>
      </c>
      <c r="HY261" s="5">
        <v>3.7874840727233197E-2</v>
      </c>
      <c r="HZ261" s="5">
        <v>-0.52197055298739103</v>
      </c>
      <c r="IA261" s="5">
        <v>0.57194803016418705</v>
      </c>
      <c r="IB261" s="5">
        <v>-0.45033516233326498</v>
      </c>
      <c r="IC261" s="5">
        <v>0.435492629475625</v>
      </c>
      <c r="ID261" s="5">
        <v>-7.8920519124598604E-2</v>
      </c>
      <c r="IE261" s="5">
        <v>0.32365085392603599</v>
      </c>
      <c r="IF261" s="5">
        <v>9.4605341414967806E-2</v>
      </c>
      <c r="IG261" s="5">
        <v>-1.5954534396616302E-2</v>
      </c>
      <c r="IH261" s="5">
        <v>-6.3930490051493205E-2</v>
      </c>
      <c r="II261" s="5">
        <v>0.128497857286127</v>
      </c>
      <c r="IJ261" s="5">
        <v>1.8443985793680999E-2</v>
      </c>
      <c r="IK261" s="5">
        <v>1.6446155143448899E-2</v>
      </c>
      <c r="IL261" s="5">
        <v>6.5442981735976305E-2</v>
      </c>
      <c r="IM261" s="5">
        <v>0.106396977586356</v>
      </c>
      <c r="IN261" s="5">
        <v>0.125072734894905</v>
      </c>
      <c r="IO261" s="5">
        <v>-5.3873252733189297E-2</v>
      </c>
      <c r="IP261" s="5">
        <v>-0.106888079797043</v>
      </c>
      <c r="IQ261" s="5">
        <v>0.26584136254193302</v>
      </c>
      <c r="IR261" s="5">
        <v>0.20209355580214999</v>
      </c>
      <c r="IS261" s="5">
        <v>-0.137723142249567</v>
      </c>
      <c r="IT261" s="5">
        <v>-7.9221943269610698E-2</v>
      </c>
      <c r="IU261" s="5">
        <v>0.19515553116861101</v>
      </c>
      <c r="IV261" s="5">
        <v>-0.238458975137601</v>
      </c>
      <c r="IW261" s="5">
        <v>0.289587932288423</v>
      </c>
      <c r="IX261" s="5">
        <v>1.3419623710739801E-2</v>
      </c>
      <c r="IY261" s="5">
        <v>9.88845461990015E-2</v>
      </c>
      <c r="IZ261" s="5">
        <v>-0.89113915537663302</v>
      </c>
      <c r="JA261" s="5">
        <v>1</v>
      </c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</row>
    <row r="262" spans="1:389" x14ac:dyDescent="0.45">
      <c r="A262" s="4" t="str">
        <f ca="1">"NOR / beta1dist in "&amp;CELL("address",'damages-1990'!$J$132)</f>
        <v>NOR / beta1dist in '[BHM betas v3pd.xlsx]damages-1990'!$J$132</v>
      </c>
      <c r="B262" s="6">
        <v>0.20241458585765401</v>
      </c>
      <c r="C262" s="5">
        <v>-0.31126633935702902</v>
      </c>
      <c r="D262" s="5">
        <v>-4.9323648143380701E-2</v>
      </c>
      <c r="E262" s="5">
        <v>-0.23313698197691701</v>
      </c>
      <c r="F262" s="5">
        <v>0.29763493050426099</v>
      </c>
      <c r="G262" s="5">
        <v>-0.33398931668566001</v>
      </c>
      <c r="H262" s="5">
        <v>0.59137995409397304</v>
      </c>
      <c r="I262" s="5">
        <v>-0.43510224346284199</v>
      </c>
      <c r="J262" s="5">
        <v>-0.17566363837069299</v>
      </c>
      <c r="K262" s="5">
        <v>-0.12888493699746001</v>
      </c>
      <c r="L262" s="5">
        <v>4.9320538571865401E-3</v>
      </c>
      <c r="M262" s="5">
        <v>-5.5546801053722901E-2</v>
      </c>
      <c r="N262" s="5">
        <v>0.17229869682196899</v>
      </c>
      <c r="O262" s="5">
        <v>5.9928723066742302E-2</v>
      </c>
      <c r="P262" s="5">
        <v>6.07973033696537E-2</v>
      </c>
      <c r="Q262" s="5">
        <v>-0.24589927701550901</v>
      </c>
      <c r="R262" s="5">
        <v>-0.20036993812578899</v>
      </c>
      <c r="S262" s="5">
        <v>-0.103517813329926</v>
      </c>
      <c r="T262" s="5">
        <v>0.627386775660845</v>
      </c>
      <c r="U262" s="5">
        <v>-0.52468163773473497</v>
      </c>
      <c r="V262" s="5">
        <v>0.19713784720454799</v>
      </c>
      <c r="W262" s="5">
        <v>-0.27706022220178</v>
      </c>
      <c r="X262" s="5">
        <v>-3.3913735202969801E-2</v>
      </c>
      <c r="Y262" s="5">
        <v>-0.20515300845659901</v>
      </c>
      <c r="Z262" s="5">
        <v>0.60658836155302598</v>
      </c>
      <c r="AA262" s="5">
        <v>-0.57800391487838898</v>
      </c>
      <c r="AB262" s="5">
        <v>1.31121718019217E-2</v>
      </c>
      <c r="AC262" s="5">
        <v>-0.21505606953979001</v>
      </c>
      <c r="AD262" s="5">
        <v>0.133787154136426</v>
      </c>
      <c r="AE262" s="5">
        <v>-0.32319978065631699</v>
      </c>
      <c r="AF262" s="5">
        <v>-0.23790617806881501</v>
      </c>
      <c r="AG262" s="5">
        <v>-4.2431196586991002E-2</v>
      </c>
      <c r="AH262" s="5">
        <v>0.35756801771651697</v>
      </c>
      <c r="AI262" s="5">
        <v>-0.36058399043491202</v>
      </c>
      <c r="AJ262" s="5">
        <v>-0.29412734978253502</v>
      </c>
      <c r="AK262" s="5">
        <v>-5.4279774277744601E-2</v>
      </c>
      <c r="AL262" s="5">
        <v>-0.418271940362481</v>
      </c>
      <c r="AM262" s="5">
        <v>0.29197379823231301</v>
      </c>
      <c r="AN262" s="5">
        <v>0.47693905612037402</v>
      </c>
      <c r="AO262" s="5">
        <v>-0.41798322122854498</v>
      </c>
      <c r="AP262" s="5">
        <v>0.72084859266490398</v>
      </c>
      <c r="AQ262" s="5">
        <v>-0.65620918904585701</v>
      </c>
      <c r="AR262" s="5">
        <v>-0.33585167963420098</v>
      </c>
      <c r="AS262" s="5">
        <v>0.114780640992855</v>
      </c>
      <c r="AT262" s="5">
        <v>-0.53678020292552497</v>
      </c>
      <c r="AU262" s="5">
        <v>0.41148996761383699</v>
      </c>
      <c r="AV262" s="5">
        <v>-0.31909174990581501</v>
      </c>
      <c r="AW262" s="5">
        <v>-1.91683084162919E-3</v>
      </c>
      <c r="AX262" s="5">
        <v>-0.348875531158368</v>
      </c>
      <c r="AY262" s="5">
        <v>2.6998602431288401E-2</v>
      </c>
      <c r="AZ262" s="5">
        <v>-2.6003281371460199E-2</v>
      </c>
      <c r="BA262" s="5">
        <v>-0.14848624030403501</v>
      </c>
      <c r="BB262" s="5">
        <v>-0.11704821755030601</v>
      </c>
      <c r="BC262" s="5">
        <v>-0.22487636117669799</v>
      </c>
      <c r="BD262" s="5">
        <v>0.38630285797688302</v>
      </c>
      <c r="BE262" s="5">
        <v>-0.48143962852620398</v>
      </c>
      <c r="BF262" s="5">
        <v>-9.4179429229750602E-2</v>
      </c>
      <c r="BG262" s="5">
        <v>-0.177015325166338</v>
      </c>
      <c r="BH262" s="5">
        <v>-7.3519894895957394E-2</v>
      </c>
      <c r="BI262" s="5">
        <v>-0.17678450209115801</v>
      </c>
      <c r="BJ262" s="5">
        <v>0.52952541410411302</v>
      </c>
      <c r="BK262" s="5">
        <v>-0.20428832772530001</v>
      </c>
      <c r="BL262" s="5">
        <v>0.59874978295110304</v>
      </c>
      <c r="BM262" s="5">
        <v>-0.45414858515303702</v>
      </c>
      <c r="BN262" s="5">
        <v>0.41863453764802699</v>
      </c>
      <c r="BO262" s="5">
        <v>-0.26652945314351201</v>
      </c>
      <c r="BP262" s="5">
        <v>0.58439759797171598</v>
      </c>
      <c r="BQ262" s="5">
        <v>-0.50347109149480995</v>
      </c>
      <c r="BR262" s="5">
        <v>0.13599354110621101</v>
      </c>
      <c r="BS262" s="5">
        <v>-0.29515134860134801</v>
      </c>
      <c r="BT262" s="5">
        <v>-9.8989022592697595E-2</v>
      </c>
      <c r="BU262" s="5">
        <v>-0.191205274090327</v>
      </c>
      <c r="BV262" s="5">
        <v>-6.4809742742066398E-2</v>
      </c>
      <c r="BW262" s="5">
        <v>-0.204340685840284</v>
      </c>
      <c r="BX262" s="5">
        <v>-4.8377009864263097E-2</v>
      </c>
      <c r="BY262" s="5">
        <v>-0.18243104654862399</v>
      </c>
      <c r="BZ262" s="5">
        <v>-0.189043832238316</v>
      </c>
      <c r="CA262" s="5">
        <v>-7.6365010326978497E-2</v>
      </c>
      <c r="CB262" s="5">
        <v>-0.27159701934348401</v>
      </c>
      <c r="CC262" s="5">
        <v>4.1178924884883797E-2</v>
      </c>
      <c r="CD262" s="5">
        <v>-6.2857303363978601E-2</v>
      </c>
      <c r="CE262" s="5">
        <v>-0.119407083699095</v>
      </c>
      <c r="CF262" s="5">
        <v>-0.21721291368696899</v>
      </c>
      <c r="CG262" s="5">
        <v>3.16424364017397E-2</v>
      </c>
      <c r="CH262" s="5">
        <v>-0.39921965930397202</v>
      </c>
      <c r="CI262" s="5">
        <v>0.29032093541607601</v>
      </c>
      <c r="CJ262" s="5">
        <v>-0.10490397837972899</v>
      </c>
      <c r="CK262" s="5">
        <v>-6.7781470345325404E-2</v>
      </c>
      <c r="CL262" s="5">
        <v>0.64420682357304704</v>
      </c>
      <c r="CM262" s="5">
        <v>-0.58317961315841504</v>
      </c>
      <c r="CN262" s="5">
        <v>0.67897011524816797</v>
      </c>
      <c r="CO262" s="5">
        <v>-0.64086539730731196</v>
      </c>
      <c r="CP262" s="5">
        <v>-3.6671225603860803E-2</v>
      </c>
      <c r="CQ262" s="5">
        <v>-0.11970548695128699</v>
      </c>
      <c r="CR262" s="5">
        <v>3.17811273575897E-2</v>
      </c>
      <c r="CS262" s="5">
        <v>-0.19658120633877499</v>
      </c>
      <c r="CT262" s="5">
        <v>0.75593405872719699</v>
      </c>
      <c r="CU262" s="5">
        <v>-0.690118471086689</v>
      </c>
      <c r="CV262" s="5">
        <v>0.110240267870235</v>
      </c>
      <c r="CW262" s="5">
        <v>-0.29013693974742999</v>
      </c>
      <c r="CX262" s="5">
        <v>-0.105860263438032</v>
      </c>
      <c r="CY262" s="5">
        <v>-0.20058893090208799</v>
      </c>
      <c r="CZ262" s="5">
        <v>-0.159115155924519</v>
      </c>
      <c r="DA262" s="5">
        <v>-9.6932856683851404E-2</v>
      </c>
      <c r="DB262" s="5">
        <v>-0.10302726802762401</v>
      </c>
      <c r="DC262" s="5">
        <v>-0.288742191742767</v>
      </c>
      <c r="DD262" s="5">
        <v>4.35703878060223E-2</v>
      </c>
      <c r="DE262" s="5">
        <v>-0.206064253564924</v>
      </c>
      <c r="DF262" s="5">
        <v>-0.32478153924372699</v>
      </c>
      <c r="DG262" s="5">
        <v>0.107809910714166</v>
      </c>
      <c r="DH262" s="5">
        <v>0.153720073402904</v>
      </c>
      <c r="DI262" s="5">
        <v>-0.27019179963022799</v>
      </c>
      <c r="DJ262" s="5">
        <v>0.79512775535107705</v>
      </c>
      <c r="DK262" s="5">
        <v>-0.71845969456740499</v>
      </c>
      <c r="DL262" s="5">
        <v>-7.6858292243859802E-2</v>
      </c>
      <c r="DM262" s="5">
        <v>-0.127523760906847</v>
      </c>
      <c r="DN262" s="5">
        <v>0.85617866574846502</v>
      </c>
      <c r="DO262" s="5">
        <v>-0.74406671168102101</v>
      </c>
      <c r="DP262" s="5">
        <v>-0.207893993223806</v>
      </c>
      <c r="DQ262" s="5">
        <v>7.4400610828725997E-2</v>
      </c>
      <c r="DR262" s="5">
        <v>0.476509922921035</v>
      </c>
      <c r="DS262" s="5">
        <v>-0.51168648559251795</v>
      </c>
      <c r="DT262" s="5">
        <v>-0.27639257717215798</v>
      </c>
      <c r="DU262" s="5">
        <v>0.13739717850867</v>
      </c>
      <c r="DV262" s="5">
        <v>4.0627714722695801E-2</v>
      </c>
      <c r="DW262" s="5">
        <v>-0.22639530834060601</v>
      </c>
      <c r="DX262" s="5">
        <v>0.68430413773849197</v>
      </c>
      <c r="DY262" s="5">
        <v>-0.60011266963024001</v>
      </c>
      <c r="DZ262" s="5">
        <v>0.24851969282952699</v>
      </c>
      <c r="EA262" s="5">
        <v>-6.4301932864563704E-2</v>
      </c>
      <c r="EB262" s="5">
        <v>3.8502041544819503E-2</v>
      </c>
      <c r="EC262" s="5">
        <v>-0.24757329169449399</v>
      </c>
      <c r="ED262" s="5">
        <v>7.8765901629849394E-2</v>
      </c>
      <c r="EE262" s="5">
        <v>-0.29741854737131301</v>
      </c>
      <c r="EF262" s="5">
        <v>6.5669828606042494E-2</v>
      </c>
      <c r="EG262" s="5">
        <v>-0.227088850676331</v>
      </c>
      <c r="EH262" s="5">
        <v>-0.117121336988179</v>
      </c>
      <c r="EI262" s="5">
        <v>-0.154213331835094</v>
      </c>
      <c r="EJ262" s="5">
        <v>-6.9253635825407903E-2</v>
      </c>
      <c r="EK262" s="5">
        <v>-0.205044700823204</v>
      </c>
      <c r="EL262" s="5">
        <v>-0.22633808943318101</v>
      </c>
      <c r="EM262" s="5">
        <v>9.2689114273879093E-3</v>
      </c>
      <c r="EN262" s="5">
        <v>2.3724736702227502E-2</v>
      </c>
      <c r="EO262" s="5">
        <v>-8.2706442630205004E-2</v>
      </c>
      <c r="EP262" s="5">
        <v>-4.6292996448616799E-2</v>
      </c>
      <c r="EQ262" s="5">
        <v>-0.15162856941351099</v>
      </c>
      <c r="ER262" s="5">
        <v>-0.287204898709854</v>
      </c>
      <c r="ES262" s="5">
        <v>4.9070730341460998E-2</v>
      </c>
      <c r="ET262" s="5">
        <v>-0.27552545135817302</v>
      </c>
      <c r="EU262" s="5">
        <v>2.7480328749003701E-2</v>
      </c>
      <c r="EV262" s="5">
        <v>-0.25241132007877798</v>
      </c>
      <c r="EW262" s="5">
        <v>-6.0715111494936698E-2</v>
      </c>
      <c r="EX262" s="5">
        <v>-0.38537560603292598</v>
      </c>
      <c r="EY262" s="5">
        <v>0.12640835015212401</v>
      </c>
      <c r="EZ262" s="5">
        <v>-0.22010740213046701</v>
      </c>
      <c r="FA262" s="5">
        <v>-3.8268129947680099E-2</v>
      </c>
      <c r="FB262" s="5">
        <v>0.363538701715302</v>
      </c>
      <c r="FC262" s="5">
        <v>-0.37328477273462901</v>
      </c>
      <c r="FD262" s="5">
        <v>-3.5747518311806399E-2</v>
      </c>
      <c r="FE262" s="5">
        <v>-0.159955748074391</v>
      </c>
      <c r="FF262" s="5">
        <v>0.44216307940115301</v>
      </c>
      <c r="FG262" s="5">
        <v>-0.42982863339320598</v>
      </c>
      <c r="FH262" s="5">
        <v>-0.36380526590701201</v>
      </c>
      <c r="FI262" s="5">
        <v>0.23230675653651001</v>
      </c>
      <c r="FJ262" s="5">
        <v>-0.12219167736472999</v>
      </c>
      <c r="FK262" s="5">
        <v>-0.18373036461176501</v>
      </c>
      <c r="FL262" s="5">
        <v>0.49103289294881403</v>
      </c>
      <c r="FM262" s="5">
        <v>-0.35202255967516799</v>
      </c>
      <c r="FN262" s="5">
        <v>8.0099823455107105E-2</v>
      </c>
      <c r="FO262" s="5">
        <v>-0.24943327666435899</v>
      </c>
      <c r="FP262" s="5">
        <v>-8.5741665569841696E-2</v>
      </c>
      <c r="FQ262" s="5">
        <v>-0.179053586132285</v>
      </c>
      <c r="FR262" s="5">
        <v>0.25690930116106098</v>
      </c>
      <c r="FS262" s="5">
        <v>1.3774174781592799E-2</v>
      </c>
      <c r="FT262" s="5">
        <v>-0.107695419738379</v>
      </c>
      <c r="FU262" s="5">
        <v>-0.20345662667304101</v>
      </c>
      <c r="FV262" s="5">
        <v>0.229664520747976</v>
      </c>
      <c r="FW262" s="5">
        <v>-0.29634055229698397</v>
      </c>
      <c r="FX262" s="5">
        <v>-0.183016340196475</v>
      </c>
      <c r="FY262" s="5">
        <v>-2.1000863869312499E-2</v>
      </c>
      <c r="FZ262" s="5">
        <v>-5.4471214734794299E-2</v>
      </c>
      <c r="GA262" s="5">
        <v>-0.27178235032387699</v>
      </c>
      <c r="GB262" s="5">
        <v>0.42436893722423202</v>
      </c>
      <c r="GC262" s="5">
        <v>-0.47268937507883402</v>
      </c>
      <c r="GD262" s="5">
        <v>0.50908403354773502</v>
      </c>
      <c r="GE262" s="5">
        <v>-0.39449599162273502</v>
      </c>
      <c r="GF262" s="5">
        <v>-0.27511554757815299</v>
      </c>
      <c r="GG262" s="5">
        <v>1.03814556170293E-2</v>
      </c>
      <c r="GH262" s="5">
        <v>0.29900666023474198</v>
      </c>
      <c r="GI262" s="5">
        <v>-2.3983128254771698E-3</v>
      </c>
      <c r="GJ262" s="5">
        <v>-0.34413222170247199</v>
      </c>
      <c r="GK262" s="5">
        <v>9.7977158774871204E-2</v>
      </c>
      <c r="GL262" s="5">
        <v>0.15538876007279601</v>
      </c>
      <c r="GM262" s="5">
        <v>-0.32605255487368601</v>
      </c>
      <c r="GN262" s="5">
        <v>0.385577875734683</v>
      </c>
      <c r="GO262" s="5">
        <v>-0.49368667605814998</v>
      </c>
      <c r="GP262" s="5">
        <v>-0.198762668307227</v>
      </c>
      <c r="GQ262" s="5">
        <v>-0.122793266567295</v>
      </c>
      <c r="GR262" s="5">
        <v>-0.17895972378326599</v>
      </c>
      <c r="GS262" s="5">
        <v>-7.8658719840094093E-2</v>
      </c>
      <c r="GT262" s="5">
        <v>7.6312687225832995E-2</v>
      </c>
      <c r="GU262" s="5">
        <v>-0.20121319742621599</v>
      </c>
      <c r="GV262" s="5">
        <v>4.0916785292167503E-2</v>
      </c>
      <c r="GW262" s="5">
        <v>-0.21999220741846701</v>
      </c>
      <c r="GX262" s="5">
        <v>-6.0809368518437303E-2</v>
      </c>
      <c r="GY262" s="5">
        <v>-0.23297320196079899</v>
      </c>
      <c r="GZ262" s="5">
        <v>0.61095350630933598</v>
      </c>
      <c r="HA262" s="5">
        <v>-0.47772904544629202</v>
      </c>
      <c r="HB262" s="5">
        <v>-0.34093823481551699</v>
      </c>
      <c r="HC262" s="5">
        <v>7.8567184108098695E-2</v>
      </c>
      <c r="HD262" s="5">
        <v>0.26455672545561398</v>
      </c>
      <c r="HE262" s="5">
        <v>-0.29493035549603502</v>
      </c>
      <c r="HF262" s="5">
        <v>0.77920058060679398</v>
      </c>
      <c r="HG262" s="5">
        <v>-0.71449045443234005</v>
      </c>
      <c r="HH262" s="5">
        <v>0.63291639540281597</v>
      </c>
      <c r="HI262" s="5">
        <v>-0.59136236759119298</v>
      </c>
      <c r="HJ262" s="5">
        <v>0.78756770212768101</v>
      </c>
      <c r="HK262" s="5">
        <v>-0.70942664033070801</v>
      </c>
      <c r="HL262" s="5">
        <v>-0.149311186866116</v>
      </c>
      <c r="HM262" s="5">
        <v>-4.1083913158939299E-2</v>
      </c>
      <c r="HN262" s="5">
        <v>0.46294394914001802</v>
      </c>
      <c r="HO262" s="5">
        <v>-0.46769662041993598</v>
      </c>
      <c r="HP262" s="5">
        <v>-0.17913963545327299</v>
      </c>
      <c r="HQ262" s="5">
        <v>-0.127426053000746</v>
      </c>
      <c r="HR262" s="5">
        <v>-0.22971771569292301</v>
      </c>
      <c r="HS262" s="5">
        <v>-3.3889628618161897E-4</v>
      </c>
      <c r="HT262" s="5">
        <v>0.40660203148268897</v>
      </c>
      <c r="HU262" s="5">
        <v>-0.38926813094953699</v>
      </c>
      <c r="HV262" s="5">
        <v>2.6108220819462701E-2</v>
      </c>
      <c r="HW262" s="5">
        <v>-0.28202788515925598</v>
      </c>
      <c r="HX262" s="5">
        <v>-0.187572836897241</v>
      </c>
      <c r="HY262" s="5">
        <v>-7.83540884832436E-2</v>
      </c>
      <c r="HZ262" s="5">
        <v>0.50059246192675899</v>
      </c>
      <c r="IA262" s="5">
        <v>-0.40931904488760301</v>
      </c>
      <c r="IB262" s="5">
        <v>0.57531560772876</v>
      </c>
      <c r="IC262" s="5">
        <v>-0.422224748505939</v>
      </c>
      <c r="ID262" s="5">
        <v>-4.68356984301114E-2</v>
      </c>
      <c r="IE262" s="5">
        <v>-0.36081095924722101</v>
      </c>
      <c r="IF262" s="5">
        <v>-0.16778463316938499</v>
      </c>
      <c r="IG262" s="5">
        <v>-0.10266554894857099</v>
      </c>
      <c r="IH262" s="5">
        <v>-1.64770736703291E-2</v>
      </c>
      <c r="II262" s="5">
        <v>-0.16593930355668399</v>
      </c>
      <c r="IJ262" s="5">
        <v>-0.22560088657809199</v>
      </c>
      <c r="IK262" s="5">
        <v>0.104043277624081</v>
      </c>
      <c r="IL262" s="5">
        <v>-9.8904116145700993E-2</v>
      </c>
      <c r="IM262" s="5">
        <v>-0.24691847223440699</v>
      </c>
      <c r="IN262" s="5">
        <v>-0.27176893526047402</v>
      </c>
      <c r="IO262" s="5">
        <v>1.1650120049056001E-2</v>
      </c>
      <c r="IP262" s="5">
        <v>-3.6462027135139997E-2</v>
      </c>
      <c r="IQ262" s="5">
        <v>-0.25306747124211598</v>
      </c>
      <c r="IR262" s="5">
        <v>-0.29131811080414599</v>
      </c>
      <c r="IS262" s="5">
        <v>0.114401596816559</v>
      </c>
      <c r="IT262" s="5">
        <v>5.2681244827894103E-2</v>
      </c>
      <c r="IU262" s="5">
        <v>-0.343348557996769</v>
      </c>
      <c r="IV262" s="5">
        <v>0.177015122096817</v>
      </c>
      <c r="IW262" s="5">
        <v>-0.38721070913042299</v>
      </c>
      <c r="IX262" s="5">
        <v>-0.21063993762813099</v>
      </c>
      <c r="IY262" s="5">
        <v>-3.8113690615129002E-2</v>
      </c>
      <c r="IZ262" s="5">
        <v>0.62431999917441805</v>
      </c>
      <c r="JA262" s="5">
        <v>-0.58583799988539398</v>
      </c>
      <c r="JB262" s="5">
        <v>1</v>
      </c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</row>
    <row r="263" spans="1:389" x14ac:dyDescent="0.45">
      <c r="A263" s="4" t="str">
        <f ca="1">"NOR / beta2dist in "&amp;CELL("address",'damages-1990'!$K$132)</f>
        <v>NOR / beta2dist in '[BHM betas v3pd.xlsx]damages-1990'!$K$132</v>
      </c>
      <c r="B263" s="6">
        <v>-6.4398603582739106E-2</v>
      </c>
      <c r="C263" s="5">
        <v>0.192350662076582</v>
      </c>
      <c r="D263" s="5">
        <v>-3.82276393887961E-2</v>
      </c>
      <c r="E263" s="5">
        <v>0.25766978707916299</v>
      </c>
      <c r="F263" s="5">
        <v>-0.119939051116907</v>
      </c>
      <c r="G263" s="5">
        <v>0.20275376184963601</v>
      </c>
      <c r="H263" s="5">
        <v>-0.45107189881298199</v>
      </c>
      <c r="I263" s="5">
        <v>0.43529335114877699</v>
      </c>
      <c r="J263" s="5">
        <v>7.2309394288599005E-2</v>
      </c>
      <c r="K263" s="5">
        <v>0.13666218640752001</v>
      </c>
      <c r="L263" s="5">
        <v>7.0664097449301994E-2</v>
      </c>
      <c r="M263" s="5">
        <v>-3.4086395771761299E-2</v>
      </c>
      <c r="N263" s="5">
        <v>7.44014193080339E-2</v>
      </c>
      <c r="O263" s="5">
        <v>-0.17203522747811301</v>
      </c>
      <c r="P263" s="5">
        <v>-9.8431246760491697E-2</v>
      </c>
      <c r="Q263" s="5">
        <v>0.26630133027360903</v>
      </c>
      <c r="R263" s="5">
        <v>0.149391553183298</v>
      </c>
      <c r="S263" s="5">
        <v>0.10323437084952</v>
      </c>
      <c r="T263" s="5">
        <v>-0.51117616930211396</v>
      </c>
      <c r="U263" s="5">
        <v>0.54344613724068702</v>
      </c>
      <c r="V263" s="5">
        <v>-4.7660546549430201E-2</v>
      </c>
      <c r="W263" s="5">
        <v>0.138939379782066</v>
      </c>
      <c r="X263" s="5">
        <v>-4.8676939893933797E-2</v>
      </c>
      <c r="Y263" s="5">
        <v>0.22569586448828299</v>
      </c>
      <c r="Z263" s="5">
        <v>-0.46112009800493098</v>
      </c>
      <c r="AA263" s="5">
        <v>0.55230280842464896</v>
      </c>
      <c r="AB263" s="5">
        <v>-0.144139682367562</v>
      </c>
      <c r="AC263" s="5">
        <v>0.27366188354808302</v>
      </c>
      <c r="AD263" s="5">
        <v>-0.22220913781158799</v>
      </c>
      <c r="AE263" s="5">
        <v>0.341538441493557</v>
      </c>
      <c r="AF263" s="5">
        <v>0.124971394588427</v>
      </c>
      <c r="AG263" s="5">
        <v>9.5909059326276802E-2</v>
      </c>
      <c r="AH263" s="5">
        <v>-0.187025784928223</v>
      </c>
      <c r="AI263" s="5">
        <v>0.26339082046459</v>
      </c>
      <c r="AJ263" s="5">
        <v>0.187539927566232</v>
      </c>
      <c r="AK263" s="5">
        <v>6.6450945770279102E-2</v>
      </c>
      <c r="AL263" s="5">
        <v>0.41951843838874098</v>
      </c>
      <c r="AM263" s="5">
        <v>-0.37225180170434002</v>
      </c>
      <c r="AN263" s="5">
        <v>-0.315529763725174</v>
      </c>
      <c r="AO263" s="5">
        <v>0.37482938625675</v>
      </c>
      <c r="AP263" s="5">
        <v>-0.62643747654961002</v>
      </c>
      <c r="AQ263" s="5">
        <v>0.70779793485445597</v>
      </c>
      <c r="AR263" s="5">
        <v>0.24399617013689101</v>
      </c>
      <c r="AS263" s="5">
        <v>-8.9300664100899596E-2</v>
      </c>
      <c r="AT263" s="5">
        <v>0.587915715130225</v>
      </c>
      <c r="AU263" s="5">
        <v>-0.548289189017239</v>
      </c>
      <c r="AV263" s="5">
        <v>0.237719711745531</v>
      </c>
      <c r="AW263" s="5">
        <v>1.61883576250265E-2</v>
      </c>
      <c r="AX263" s="5">
        <v>0.235753592781901</v>
      </c>
      <c r="AY263" s="5">
        <v>-2.2889691520585399E-3</v>
      </c>
      <c r="AZ263" s="5">
        <v>-2.2872759561843099E-2</v>
      </c>
      <c r="BA263" s="5">
        <v>0.17816542440107899</v>
      </c>
      <c r="BB263" s="5">
        <v>3.1374726646393402E-3</v>
      </c>
      <c r="BC263" s="5">
        <v>0.27088359332801598</v>
      </c>
      <c r="BD263" s="5">
        <v>-0.17331797269037999</v>
      </c>
      <c r="BE263" s="5">
        <v>0.30149512094331199</v>
      </c>
      <c r="BF263" s="5">
        <v>2.2209397197896202E-2</v>
      </c>
      <c r="BG263" s="5">
        <v>0.202110409009223</v>
      </c>
      <c r="BH263" s="5">
        <v>-6.8772626901929604E-2</v>
      </c>
      <c r="BI263" s="5">
        <v>0.244346655654477</v>
      </c>
      <c r="BJ263" s="5">
        <v>-0.36084989542756002</v>
      </c>
      <c r="BK263" s="5">
        <v>0.1887473885649</v>
      </c>
      <c r="BL263" s="5">
        <v>-0.45960491088016497</v>
      </c>
      <c r="BM263" s="5">
        <v>0.45533994573266101</v>
      </c>
      <c r="BN263" s="5">
        <v>-0.201897404142691</v>
      </c>
      <c r="BO263" s="5">
        <v>0.173130347581293</v>
      </c>
      <c r="BP263" s="5">
        <v>-0.33305812145548502</v>
      </c>
      <c r="BQ263" s="5">
        <v>0.36718265261294403</v>
      </c>
      <c r="BR263" s="5">
        <v>-0.21707879405371799</v>
      </c>
      <c r="BS263" s="5">
        <v>0.31336297676994801</v>
      </c>
      <c r="BT263" s="5">
        <v>-1.02790647454144E-2</v>
      </c>
      <c r="BU263" s="5">
        <v>0.22980900661247899</v>
      </c>
      <c r="BV263" s="5">
        <v>-4.9263570598684699E-2</v>
      </c>
      <c r="BW263" s="5">
        <v>0.236531246723136</v>
      </c>
      <c r="BX263" s="5">
        <v>-7.0880455860142993E-2</v>
      </c>
      <c r="BY263" s="5">
        <v>0.233008809387481</v>
      </c>
      <c r="BZ263" s="5">
        <v>6.7993730657858104E-2</v>
      </c>
      <c r="CA263" s="5">
        <v>0.118682378945697</v>
      </c>
      <c r="CB263" s="5">
        <v>0.21496595673688801</v>
      </c>
      <c r="CC263" s="5">
        <v>-3.8573267822847299E-2</v>
      </c>
      <c r="CD263" s="5">
        <v>8.4176756491246604E-2</v>
      </c>
      <c r="CE263" s="5">
        <v>6.2639829626710095E-2</v>
      </c>
      <c r="CF263" s="5">
        <v>0.13683345049947401</v>
      </c>
      <c r="CG263" s="5">
        <v>-3.5209418556553301E-3</v>
      </c>
      <c r="CH263" s="5">
        <v>0.37526254981526602</v>
      </c>
      <c r="CI263" s="5">
        <v>-0.32979558350347399</v>
      </c>
      <c r="CJ263" s="5">
        <v>6.7477592954502799E-2</v>
      </c>
      <c r="CK263" s="5">
        <v>7.5820458346758907E-2</v>
      </c>
      <c r="CL263" s="5">
        <v>-0.52343301659638997</v>
      </c>
      <c r="CM263" s="5">
        <v>0.60005948769321804</v>
      </c>
      <c r="CN263" s="5">
        <v>-0.54496801623048896</v>
      </c>
      <c r="CO263" s="5">
        <v>0.64383606866565102</v>
      </c>
      <c r="CP263" s="5">
        <v>-4.66910171962635E-2</v>
      </c>
      <c r="CQ263" s="5">
        <v>0.137320834309164</v>
      </c>
      <c r="CR263" s="5">
        <v>-5.7769670137925597E-2</v>
      </c>
      <c r="CS263" s="5">
        <v>0.21953613636178501</v>
      </c>
      <c r="CT263" s="5">
        <v>-0.67604290749440799</v>
      </c>
      <c r="CU263" s="5">
        <v>0.74507600192516199</v>
      </c>
      <c r="CV263" s="5">
        <v>-0.13270290450080199</v>
      </c>
      <c r="CW263" s="5">
        <v>0.27854837825569301</v>
      </c>
      <c r="CX263" s="5">
        <v>3.0569122904286299E-2</v>
      </c>
      <c r="CY263" s="5">
        <v>0.203517272389687</v>
      </c>
      <c r="CZ263" s="5">
        <v>4.7324376397720101E-2</v>
      </c>
      <c r="DA263" s="5">
        <v>0.14788911064506199</v>
      </c>
      <c r="DB263" s="5">
        <v>3.1489626744867702E-2</v>
      </c>
      <c r="DC263" s="5">
        <v>0.28310241814459303</v>
      </c>
      <c r="DD263" s="5">
        <v>-0.100332922401735</v>
      </c>
      <c r="DE263" s="5">
        <v>0.18839916235609699</v>
      </c>
      <c r="DF263" s="5">
        <v>0.301596461658731</v>
      </c>
      <c r="DG263" s="5">
        <v>-0.14719538278727101</v>
      </c>
      <c r="DH263" s="5">
        <v>-2.0010333647678302E-2</v>
      </c>
      <c r="DI263" s="5">
        <v>0.15815907093606699</v>
      </c>
      <c r="DJ263" s="5">
        <v>-0.70415967258106804</v>
      </c>
      <c r="DK263" s="5">
        <v>0.77983757860272296</v>
      </c>
      <c r="DL263" s="5">
        <v>-2.1841600621638601E-3</v>
      </c>
      <c r="DM263" s="5">
        <v>0.13526819049692601</v>
      </c>
      <c r="DN263" s="5">
        <v>-0.77153936174418702</v>
      </c>
      <c r="DO263" s="5">
        <v>0.84172852970856005</v>
      </c>
      <c r="DP263" s="5">
        <v>0.14909424863680201</v>
      </c>
      <c r="DQ263" s="5">
        <v>-8.4975347456621497E-2</v>
      </c>
      <c r="DR263" s="5">
        <v>-0.312694892484502</v>
      </c>
      <c r="DS263" s="5">
        <v>0.437082694351976</v>
      </c>
      <c r="DT263" s="5">
        <v>0.22399415708442699</v>
      </c>
      <c r="DU263" s="5">
        <v>-0.14073195635837099</v>
      </c>
      <c r="DV263" s="5">
        <v>-0.10906668479477601</v>
      </c>
      <c r="DW263" s="5">
        <v>0.23760428636429001</v>
      </c>
      <c r="DX263" s="5">
        <v>-0.52480303788543203</v>
      </c>
      <c r="DY263" s="5">
        <v>0.57109115564770396</v>
      </c>
      <c r="DZ263" s="5">
        <v>-4.8975268684224903E-3</v>
      </c>
      <c r="EA263" s="5">
        <v>-4.4914702915308601E-2</v>
      </c>
      <c r="EB263" s="5">
        <v>-0.13951600346399101</v>
      </c>
      <c r="EC263" s="5">
        <v>0.27031698736564003</v>
      </c>
      <c r="ED263" s="5">
        <v>-0.18384818976901701</v>
      </c>
      <c r="EE263" s="5">
        <v>0.33574498748732201</v>
      </c>
      <c r="EF263" s="5">
        <v>-0.100045812235392</v>
      </c>
      <c r="EG263" s="5">
        <v>0.252935566307113</v>
      </c>
      <c r="EH263" s="5">
        <v>5.8491061416200203E-2</v>
      </c>
      <c r="EI263" s="5">
        <v>0.12924122194592999</v>
      </c>
      <c r="EJ263" s="5">
        <v>-7.0478997062569399E-3</v>
      </c>
      <c r="EK263" s="5">
        <v>0.20522671201030199</v>
      </c>
      <c r="EL263" s="5">
        <v>0.119989079512483</v>
      </c>
      <c r="EM263" s="5">
        <v>3.3940123375243901E-2</v>
      </c>
      <c r="EN263" s="5">
        <v>7.6205837050721703E-2</v>
      </c>
      <c r="EO263" s="5">
        <v>-1.0818610652864999E-2</v>
      </c>
      <c r="EP263" s="5">
        <v>1.1973070614570499E-2</v>
      </c>
      <c r="EQ263" s="5">
        <v>0.16103870471922399</v>
      </c>
      <c r="ER263" s="5">
        <v>0.20324915268233201</v>
      </c>
      <c r="ES263" s="5">
        <v>-3.3116386455422697E-2</v>
      </c>
      <c r="ET263" s="5">
        <v>0.175837629869593</v>
      </c>
      <c r="EU263" s="5">
        <v>4.9374510186349398E-3</v>
      </c>
      <c r="EV263" s="5">
        <v>0.116928416034931</v>
      </c>
      <c r="EW263" s="5">
        <v>0.12860924447679201</v>
      </c>
      <c r="EX263" s="5">
        <v>0.30431851851040198</v>
      </c>
      <c r="EY263" s="5">
        <v>-9.4253481697980701E-2</v>
      </c>
      <c r="EZ263" s="5">
        <v>0.154063277669161</v>
      </c>
      <c r="FA263" s="5">
        <v>3.8234495670989001E-2</v>
      </c>
      <c r="FB263" s="5">
        <v>-0.199393116414562</v>
      </c>
      <c r="FC263" s="5">
        <v>0.28385495606475902</v>
      </c>
      <c r="FD263" s="5">
        <v>7.1941323826864301E-3</v>
      </c>
      <c r="FE263" s="5">
        <v>0.13812856201005</v>
      </c>
      <c r="FF263" s="5">
        <v>-0.28984761256731501</v>
      </c>
      <c r="FG263" s="5">
        <v>0.37217036176246299</v>
      </c>
      <c r="FH263" s="5">
        <v>0.280593311227328</v>
      </c>
      <c r="FI263" s="5">
        <v>-0.23182214631382</v>
      </c>
      <c r="FJ263" s="5">
        <v>5.5759725089808497E-2</v>
      </c>
      <c r="FK263" s="5">
        <v>0.17306327714379999</v>
      </c>
      <c r="FL263" s="5">
        <v>-0.32235969993057401</v>
      </c>
      <c r="FM263" s="5">
        <v>0.30115305450090002</v>
      </c>
      <c r="FN263" s="5">
        <v>-7.3136771574455806E-2</v>
      </c>
      <c r="FO263" s="5">
        <v>0.207714302664881</v>
      </c>
      <c r="FP263" s="5">
        <v>-7.5325097964161498E-3</v>
      </c>
      <c r="FQ263" s="5">
        <v>0.19880638138823101</v>
      </c>
      <c r="FR263" s="5">
        <v>-0.11360438578023099</v>
      </c>
      <c r="FS263" s="5">
        <v>-2.7496258183973801E-2</v>
      </c>
      <c r="FT263" s="5">
        <v>6.1945209451601597E-2</v>
      </c>
      <c r="FU263" s="5">
        <v>0.19749947458921299</v>
      </c>
      <c r="FV263" s="5">
        <v>-6.9810993061081794E-2</v>
      </c>
      <c r="FW263" s="5">
        <v>0.16636950872857201</v>
      </c>
      <c r="FX263" s="5">
        <v>0.16922480292575301</v>
      </c>
      <c r="FY263" s="5">
        <v>-8.2710209846718393E-3</v>
      </c>
      <c r="FZ263" s="5">
        <v>1.49319811236892E-2</v>
      </c>
      <c r="GA263" s="5">
        <v>0.263550945178669</v>
      </c>
      <c r="GB263" s="5">
        <v>-0.25925439561298802</v>
      </c>
      <c r="GC263" s="5">
        <v>0.37895025110084501</v>
      </c>
      <c r="GD263" s="5">
        <v>-0.34729483189118798</v>
      </c>
      <c r="GE263" s="5">
        <v>0.35139398058348098</v>
      </c>
      <c r="GF263" s="5">
        <v>0.162507450130457</v>
      </c>
      <c r="GG263" s="5">
        <v>2.4711268112942102E-2</v>
      </c>
      <c r="GH263" s="5">
        <v>-9.7285954082053594E-2</v>
      </c>
      <c r="GI263" s="5">
        <v>-7.6204300536091493E-2</v>
      </c>
      <c r="GJ263" s="5">
        <v>0.27927894060797898</v>
      </c>
      <c r="GK263" s="5">
        <v>-0.11913260051397601</v>
      </c>
      <c r="GL263" s="5">
        <v>-0.203321845930996</v>
      </c>
      <c r="GM263" s="5">
        <v>0.36152822487299502</v>
      </c>
      <c r="GN263" s="5">
        <v>-0.193363748340979</v>
      </c>
      <c r="GO263" s="5">
        <v>0.34159855605836598</v>
      </c>
      <c r="GP263" s="5">
        <v>9.7393505336289696E-2</v>
      </c>
      <c r="GQ263" s="5">
        <v>0.13426798607639601</v>
      </c>
      <c r="GR263" s="5">
        <v>0.10323851940916901</v>
      </c>
      <c r="GS263" s="5">
        <v>9.9712539024850902E-2</v>
      </c>
      <c r="GT263" s="5">
        <v>-3.5993398213282297E-2</v>
      </c>
      <c r="GU263" s="5">
        <v>0.16957196879969799</v>
      </c>
      <c r="GV263" s="5">
        <v>-9.8290813418958595E-2</v>
      </c>
      <c r="GW263" s="5">
        <v>0.226399908350185</v>
      </c>
      <c r="GX263" s="5">
        <v>8.2514953292728097E-3</v>
      </c>
      <c r="GY263" s="5">
        <v>0.21470050816290401</v>
      </c>
      <c r="GZ263" s="5">
        <v>-0.485973453134736</v>
      </c>
      <c r="HA263" s="5">
        <v>0.49130582890812602</v>
      </c>
      <c r="HB263" s="5">
        <v>0.27789733384686</v>
      </c>
      <c r="HC263" s="5">
        <v>-8.1482125132334299E-2</v>
      </c>
      <c r="HD263" s="5">
        <v>-0.12017743952722899</v>
      </c>
      <c r="HE263" s="5">
        <v>0.20188913521879601</v>
      </c>
      <c r="HF263" s="5">
        <v>-0.68810626578080203</v>
      </c>
      <c r="HG263" s="5">
        <v>0.77104032091114805</v>
      </c>
      <c r="HH263" s="5">
        <v>-0.47840396633975701</v>
      </c>
      <c r="HI263" s="5">
        <v>0.56292257707771498</v>
      </c>
      <c r="HJ263" s="5">
        <v>-0.70529659775179898</v>
      </c>
      <c r="HK263" s="5">
        <v>0.77349092956392096</v>
      </c>
      <c r="HL263" s="5">
        <v>0.176748960924453</v>
      </c>
      <c r="HM263" s="5">
        <v>-7.5662054672871199E-3</v>
      </c>
      <c r="HN263" s="5">
        <v>-0.32694800883160602</v>
      </c>
      <c r="HO263" s="5">
        <v>0.440213052281065</v>
      </c>
      <c r="HP263" s="5">
        <v>0.168468659524455</v>
      </c>
      <c r="HQ263" s="5">
        <v>6.5543315013732895E-2</v>
      </c>
      <c r="HR263" s="5">
        <v>0.19097144051425999</v>
      </c>
      <c r="HS263" s="5">
        <v>-3.7331052141055497E-2</v>
      </c>
      <c r="HT263" s="5">
        <v>-0.219892562148024</v>
      </c>
      <c r="HU263" s="5">
        <v>0.28524026496920002</v>
      </c>
      <c r="HV263" s="5">
        <v>-0.141138786272823</v>
      </c>
      <c r="HW263" s="5">
        <v>0.31965592012320698</v>
      </c>
      <c r="HX263" s="5">
        <v>0.15354817348281599</v>
      </c>
      <c r="HY263" s="5">
        <v>3.7837170998142003E-2</v>
      </c>
      <c r="HZ263" s="5">
        <v>-0.336656389847515</v>
      </c>
      <c r="IA263" s="5">
        <v>0.37696691450202602</v>
      </c>
      <c r="IB263" s="5">
        <v>-0.43475140123537498</v>
      </c>
      <c r="IC263" s="5">
        <v>0.40416094797127899</v>
      </c>
      <c r="ID263" s="5">
        <v>-4.25615364844096E-2</v>
      </c>
      <c r="IE263" s="5">
        <v>0.38501025966717001</v>
      </c>
      <c r="IF263" s="5">
        <v>9.8216976562903499E-2</v>
      </c>
      <c r="IG263" s="5">
        <v>8.8451438283134898E-2</v>
      </c>
      <c r="IH263" s="5">
        <v>-2.56949191798049E-2</v>
      </c>
      <c r="II263" s="5">
        <v>0.19211106268674699</v>
      </c>
      <c r="IJ263" s="5">
        <v>0.14029943162092601</v>
      </c>
      <c r="IK263" s="5">
        <v>-6.4078327974042504E-2</v>
      </c>
      <c r="IL263" s="5">
        <v>1.8338749360116299E-2</v>
      </c>
      <c r="IM263" s="5">
        <v>0.26133769555922498</v>
      </c>
      <c r="IN263" s="5">
        <v>0.15724373903130401</v>
      </c>
      <c r="IO263" s="5">
        <v>3.8301141316929098E-2</v>
      </c>
      <c r="IP263" s="5">
        <v>-4.5634443687527601E-2</v>
      </c>
      <c r="IQ263" s="5">
        <v>0.29535181416433198</v>
      </c>
      <c r="IR263" s="5">
        <v>0.34338736501864597</v>
      </c>
      <c r="IS263" s="5">
        <v>-0.21242045482427999</v>
      </c>
      <c r="IT263" s="5">
        <v>-0.186675076364476</v>
      </c>
      <c r="IU263" s="5">
        <v>0.401636243946772</v>
      </c>
      <c r="IV263" s="5">
        <v>-0.25728555213603399</v>
      </c>
      <c r="IW263" s="5">
        <v>0.40290744725077898</v>
      </c>
      <c r="IX263" s="5">
        <v>0.156904535241604</v>
      </c>
      <c r="IY263" s="5">
        <v>2.8087829614544001E-2</v>
      </c>
      <c r="IZ263" s="5">
        <v>-0.50374202772384402</v>
      </c>
      <c r="JA263" s="5">
        <v>0.58820701372129902</v>
      </c>
      <c r="JB263" s="5">
        <v>-0.90568924134192896</v>
      </c>
      <c r="JC263" s="5">
        <v>1</v>
      </c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</row>
    <row r="264" spans="1:389" x14ac:dyDescent="0.45">
      <c r="A264" s="4" t="str">
        <f ca="1">"NPL / beta1dist in "&amp;CELL("address",'damages-1990'!$J$133)</f>
        <v>NPL / beta1dist in '[BHM betas v3pd.xlsx]damages-1990'!$J$133</v>
      </c>
      <c r="B264" s="6">
        <v>0.74605119261391695</v>
      </c>
      <c r="C264" s="5">
        <v>-0.36120967502733797</v>
      </c>
      <c r="D264" s="5">
        <v>0.29427391830020599</v>
      </c>
      <c r="E264" s="5">
        <v>-9.7101209173759806E-2</v>
      </c>
      <c r="F264" s="5">
        <v>0.544709040962293</v>
      </c>
      <c r="G264" s="5">
        <v>-0.11635728469841999</v>
      </c>
      <c r="H264" s="5">
        <v>0.233399698155804</v>
      </c>
      <c r="I264" s="5">
        <v>-1.0353549451095199E-2</v>
      </c>
      <c r="J264" s="5">
        <v>0.27361126396517199</v>
      </c>
      <c r="K264" s="5">
        <v>-0.122540081359176</v>
      </c>
      <c r="L264" s="5">
        <v>0.58444230376745698</v>
      </c>
      <c r="M264" s="5">
        <v>-0.21967217757128801</v>
      </c>
      <c r="N264" s="5">
        <v>0.36964075260234802</v>
      </c>
      <c r="O264" s="5">
        <v>-3.0728143932465E-2</v>
      </c>
      <c r="P264" s="5">
        <v>0.177055847434238</v>
      </c>
      <c r="Q264" s="5">
        <v>-7.39404385124416E-2</v>
      </c>
      <c r="R264" s="5">
        <v>0.29672484422006401</v>
      </c>
      <c r="S264" s="5">
        <v>-6.8825823807612999E-2</v>
      </c>
      <c r="T264" s="5">
        <v>0.33051063871819802</v>
      </c>
      <c r="U264" s="5">
        <v>-0.100948044019245</v>
      </c>
      <c r="V264" s="5">
        <v>0.61863378293925597</v>
      </c>
      <c r="W264" s="5">
        <v>-0.18844304479974799</v>
      </c>
      <c r="X264" s="5">
        <v>0.26080672101352698</v>
      </c>
      <c r="Y264" s="5">
        <v>-1.0143988745648201E-2</v>
      </c>
      <c r="Z264" s="5">
        <v>0.471979167605039</v>
      </c>
      <c r="AA264" s="5">
        <v>-0.15287362342897101</v>
      </c>
      <c r="AB264" s="5">
        <v>0.217890558484202</v>
      </c>
      <c r="AC264" s="5">
        <v>-0.139820041077174</v>
      </c>
      <c r="AD264" s="5">
        <v>0.272709801436476</v>
      </c>
      <c r="AE264" s="5">
        <v>-0.151548689663217</v>
      </c>
      <c r="AF264" s="5">
        <v>0.24353860775443001</v>
      </c>
      <c r="AG264" s="5">
        <v>-0.13297263845287899</v>
      </c>
      <c r="AH264" s="5">
        <v>0.52225152794358498</v>
      </c>
      <c r="AI264" s="5">
        <v>-0.11275607531852801</v>
      </c>
      <c r="AJ264" s="5">
        <v>0.252459276367408</v>
      </c>
      <c r="AK264" s="5">
        <v>-0.12232840054000001</v>
      </c>
      <c r="AL264" s="5">
        <v>-8.5889916443761295E-3</v>
      </c>
      <c r="AM264" s="5">
        <v>0.136524817592343</v>
      </c>
      <c r="AN264" s="5">
        <v>0.48037239103610602</v>
      </c>
      <c r="AO264" s="5">
        <v>-0.12534677054951901</v>
      </c>
      <c r="AP264" s="5">
        <v>0.34939012158986399</v>
      </c>
      <c r="AQ264" s="5">
        <v>-0.125579620124849</v>
      </c>
      <c r="AR264" s="5">
        <v>0.133512462091358</v>
      </c>
      <c r="AS264" s="5">
        <v>9.9398498096215492E-3</v>
      </c>
      <c r="AT264" s="5">
        <v>0.13792171519869401</v>
      </c>
      <c r="AU264" s="5">
        <v>-7.4156923187387397E-2</v>
      </c>
      <c r="AV264" s="5">
        <v>0.27753460702039601</v>
      </c>
      <c r="AW264" s="5">
        <v>-8.9266589980960195E-2</v>
      </c>
      <c r="AX264" s="5">
        <v>0.202845690339435</v>
      </c>
      <c r="AY264" s="5">
        <v>-4.9952398086267898E-2</v>
      </c>
      <c r="AZ264" s="5">
        <v>0.211619632349938</v>
      </c>
      <c r="BA264" s="5">
        <v>-0.11261835931436701</v>
      </c>
      <c r="BB264" s="5">
        <v>0.20617990280481399</v>
      </c>
      <c r="BC264" s="5">
        <v>-6.3234194040488897E-2</v>
      </c>
      <c r="BD264" s="5">
        <v>0.68301681711914997</v>
      </c>
      <c r="BE264" s="5">
        <v>-0.243571694001009</v>
      </c>
      <c r="BF264" s="5">
        <v>0.263207504892357</v>
      </c>
      <c r="BG264" s="5">
        <v>-0.13293205067858599</v>
      </c>
      <c r="BH264" s="5">
        <v>0.25794286299244101</v>
      </c>
      <c r="BI264" s="5">
        <v>-0.105713425230771</v>
      </c>
      <c r="BJ264" s="5">
        <v>0.17406357076291901</v>
      </c>
      <c r="BK264" s="5">
        <v>2.20985414599592E-3</v>
      </c>
      <c r="BL264" s="5">
        <v>0.30331565094867002</v>
      </c>
      <c r="BM264" s="5">
        <v>-7.8881562197162594E-2</v>
      </c>
      <c r="BN264" s="5">
        <v>0.43894251502097598</v>
      </c>
      <c r="BO264" s="5">
        <v>-2.9858860986604899E-2</v>
      </c>
      <c r="BP264" s="5">
        <v>0.48025300452658598</v>
      </c>
      <c r="BQ264" s="5">
        <v>-0.12597265139356101</v>
      </c>
      <c r="BR264" s="5">
        <v>0.196836486434948</v>
      </c>
      <c r="BS264" s="5">
        <v>-7.3999530661781096E-2</v>
      </c>
      <c r="BT264" s="5">
        <v>0.26644414351004803</v>
      </c>
      <c r="BU264" s="5">
        <v>-0.106431158388524</v>
      </c>
      <c r="BV264" s="5">
        <v>0.19094867471565799</v>
      </c>
      <c r="BW264" s="5">
        <v>-1.7241725417478902E-2</v>
      </c>
      <c r="BX264" s="5">
        <v>0.192147178847209</v>
      </c>
      <c r="BY264" s="5">
        <v>-5.1639568600502998E-2</v>
      </c>
      <c r="BZ264" s="5">
        <v>0.156816050976677</v>
      </c>
      <c r="CA264" s="5">
        <v>-2.5242882783579099E-2</v>
      </c>
      <c r="CB264" s="5">
        <v>4.88905773241931E-2</v>
      </c>
      <c r="CC264" s="5">
        <v>7.4574860280272895E-2</v>
      </c>
      <c r="CD264" s="5">
        <v>0.26649500204752202</v>
      </c>
      <c r="CE264" s="5">
        <v>-0.15984410385421</v>
      </c>
      <c r="CF264" s="5">
        <v>0.189056405182362</v>
      </c>
      <c r="CG264" s="5">
        <v>-9.9021229768744903E-2</v>
      </c>
      <c r="CH264" s="5">
        <v>-1.10782098452547E-2</v>
      </c>
      <c r="CI264" s="5">
        <v>0.11770336863451</v>
      </c>
      <c r="CJ264" s="5">
        <v>0.232470974739002</v>
      </c>
      <c r="CK264" s="5">
        <v>1.41493963967344E-2</v>
      </c>
      <c r="CL264" s="5">
        <v>0.38461108614844203</v>
      </c>
      <c r="CM264" s="5">
        <v>-0.114404331578275</v>
      </c>
      <c r="CN264" s="5">
        <v>0.43482618042895199</v>
      </c>
      <c r="CO264" s="5">
        <v>-0.136801718387347</v>
      </c>
      <c r="CP264" s="5">
        <v>0.20521094658317801</v>
      </c>
      <c r="CQ264" s="5">
        <v>-9.5572368375598807E-2</v>
      </c>
      <c r="CR264" s="5">
        <v>0.19701996150837101</v>
      </c>
      <c r="CS264" s="5">
        <v>-5.1756929049886498E-2</v>
      </c>
      <c r="CT264" s="5">
        <v>0.31603888939970398</v>
      </c>
      <c r="CU264" s="5">
        <v>-8.9543545927160698E-2</v>
      </c>
      <c r="CV264" s="5">
        <v>8.8652391098446304E-2</v>
      </c>
      <c r="CW264" s="5">
        <v>6.5579046388336906E-2</v>
      </c>
      <c r="CX264" s="5">
        <v>0.35270000686771902</v>
      </c>
      <c r="CY264" s="5">
        <v>-0.18235279189137199</v>
      </c>
      <c r="CZ264" s="5">
        <v>0.16218934185518399</v>
      </c>
      <c r="DA264" s="5">
        <v>-3.0481580724087301E-3</v>
      </c>
      <c r="DB264" s="5">
        <v>0.324088871331079</v>
      </c>
      <c r="DC264" s="5">
        <v>-0.11488474718479801</v>
      </c>
      <c r="DD264" s="5">
        <v>0.30849855520543701</v>
      </c>
      <c r="DE264" s="5">
        <v>-0.155627784942859</v>
      </c>
      <c r="DF264" s="5">
        <v>0.31879879513565201</v>
      </c>
      <c r="DG264" s="5">
        <v>-0.169682164351666</v>
      </c>
      <c r="DH264" s="5">
        <v>0.56636349018907595</v>
      </c>
      <c r="DI264" s="5">
        <v>-0.15871260619834299</v>
      </c>
      <c r="DJ264" s="5">
        <v>0.27906170276702202</v>
      </c>
      <c r="DK264" s="5">
        <v>-8.6248471894196405E-2</v>
      </c>
      <c r="DL264" s="5">
        <v>0.265891493575872</v>
      </c>
      <c r="DM264" s="5">
        <v>-6.3633353419840694E-2</v>
      </c>
      <c r="DN264" s="5">
        <v>0.23090202136017199</v>
      </c>
      <c r="DO264" s="5">
        <v>-6.1839895766709001E-2</v>
      </c>
      <c r="DP264" s="5">
        <v>0.23090161147695701</v>
      </c>
      <c r="DQ264" s="5">
        <v>-6.4331892865654203E-2</v>
      </c>
      <c r="DR264" s="5">
        <v>0.56437414194170799</v>
      </c>
      <c r="DS264" s="5">
        <v>-0.19280902813020401</v>
      </c>
      <c r="DT264" s="5">
        <v>0.103839469896994</v>
      </c>
      <c r="DU264" s="5">
        <v>-2.6352008854908501E-2</v>
      </c>
      <c r="DV264" s="5">
        <v>0.150549735307445</v>
      </c>
      <c r="DW264" s="5">
        <v>-3.4727192285810601E-2</v>
      </c>
      <c r="DX264" s="5">
        <v>0.39871076229764502</v>
      </c>
      <c r="DY264" s="5">
        <v>-0.13694741855451001</v>
      </c>
      <c r="DZ264" s="5">
        <v>0.439138637427336</v>
      </c>
      <c r="EA264" s="5">
        <v>-8.8985800931782294E-2</v>
      </c>
      <c r="EB264" s="5">
        <v>0.22925202067129699</v>
      </c>
      <c r="EC264" s="5">
        <v>-9.9533105875082406E-2</v>
      </c>
      <c r="ED264" s="5">
        <v>0.26647309088142901</v>
      </c>
      <c r="EE264" s="5">
        <v>-0.112328675574181</v>
      </c>
      <c r="EF264" s="5">
        <v>0.18231385725834601</v>
      </c>
      <c r="EG264" s="5">
        <v>-5.8178937062705799E-2</v>
      </c>
      <c r="EH264" s="5">
        <v>0.291509977449802</v>
      </c>
      <c r="EI264" s="5">
        <v>-0.15451656056818699</v>
      </c>
      <c r="EJ264" s="5">
        <v>0.30351227544794401</v>
      </c>
      <c r="EK264" s="5">
        <v>-0.15506187539251601</v>
      </c>
      <c r="EL264" s="5">
        <v>0.192296979853806</v>
      </c>
      <c r="EM264" s="5">
        <v>-4.4218545415736402E-2</v>
      </c>
      <c r="EN264" s="5">
        <v>0.40154524449259499</v>
      </c>
      <c r="EO264" s="5">
        <v>-2.6773727604862602E-2</v>
      </c>
      <c r="EP264" s="5">
        <v>0.177094506971813</v>
      </c>
      <c r="EQ264" s="5">
        <v>-6.8831345458961704E-2</v>
      </c>
      <c r="ER264" s="5">
        <v>0.20664472643599299</v>
      </c>
      <c r="ES264" s="5">
        <v>-1.0550028917383001E-2</v>
      </c>
      <c r="ET264" s="5">
        <v>0.23716473422797099</v>
      </c>
      <c r="EU264" s="5">
        <v>-0.13157930317747099</v>
      </c>
      <c r="EV264" s="5">
        <v>0.20782064331886199</v>
      </c>
      <c r="EW264" s="5">
        <v>-0.100570828153076</v>
      </c>
      <c r="EX264" s="5">
        <v>0.191038244093274</v>
      </c>
      <c r="EY264" s="5">
        <v>-6.5742585515566707E-2</v>
      </c>
      <c r="EZ264" s="5">
        <v>0.20194645220899801</v>
      </c>
      <c r="FA264" s="5">
        <v>-3.02182082049753E-2</v>
      </c>
      <c r="FB264" s="5">
        <v>0.544638671516121</v>
      </c>
      <c r="FC264" s="5">
        <v>-0.151812526742651</v>
      </c>
      <c r="FD264" s="5">
        <v>7.7498434183859002E-2</v>
      </c>
      <c r="FE264" s="5">
        <v>8.8814750389878294E-2</v>
      </c>
      <c r="FF264" s="5">
        <v>0.51364923812186103</v>
      </c>
      <c r="FG264" s="5">
        <v>-0.141804660757927</v>
      </c>
      <c r="FH264" s="5">
        <v>0.21837783031490601</v>
      </c>
      <c r="FI264" s="5">
        <v>-0.11389822005497501</v>
      </c>
      <c r="FJ264" s="5">
        <v>0.45114945761127101</v>
      </c>
      <c r="FK264" s="5">
        <v>-0.28260245279896601</v>
      </c>
      <c r="FL264" s="5">
        <v>0.39885378470674099</v>
      </c>
      <c r="FM264" s="5">
        <v>-9.7871431236663697E-2</v>
      </c>
      <c r="FN264" s="5">
        <v>0.54174786338995795</v>
      </c>
      <c r="FO264" s="5">
        <v>-0.228119432981405</v>
      </c>
      <c r="FP264" s="5">
        <v>0.28413113470357898</v>
      </c>
      <c r="FQ264" s="5">
        <v>-6.8651458927740494E-2</v>
      </c>
      <c r="FR264" s="5">
        <v>0.14656098310865601</v>
      </c>
      <c r="FS264" s="5">
        <v>2.1343595851821301E-2</v>
      </c>
      <c r="FT264" s="5">
        <v>0.33687001564553898</v>
      </c>
      <c r="FU264" s="5">
        <v>-5.3153987976270398E-2</v>
      </c>
      <c r="FV264" s="5">
        <v>0.61024038671752001</v>
      </c>
      <c r="FW264" s="5">
        <v>-0.24003027431210699</v>
      </c>
      <c r="FX264" s="5">
        <v>7.2393912896920903E-2</v>
      </c>
      <c r="FY264" s="5">
        <v>7.9880679517136205E-2</v>
      </c>
      <c r="FZ264" s="5">
        <v>0.36710927514352198</v>
      </c>
      <c r="GA264" s="5">
        <v>-6.1331292857867099E-2</v>
      </c>
      <c r="GB264" s="5">
        <v>0.60185181096321705</v>
      </c>
      <c r="GC264" s="5">
        <v>-0.190835162735779</v>
      </c>
      <c r="GD264" s="5">
        <v>0.26506102547694099</v>
      </c>
      <c r="GE264" s="5">
        <v>-1.8408023955245899E-2</v>
      </c>
      <c r="GF264" s="5">
        <v>0.26103141570848998</v>
      </c>
      <c r="GG264" s="5">
        <v>-9.8019104516961095E-2</v>
      </c>
      <c r="GH264" s="5">
        <v>0.15287022105362999</v>
      </c>
      <c r="GI264" s="5">
        <v>8.5919065294244604E-2</v>
      </c>
      <c r="GJ264" s="5">
        <v>0.17846712477459001</v>
      </c>
      <c r="GK264" s="5">
        <v>-8.7832986292309095E-2</v>
      </c>
      <c r="GL264" s="5">
        <v>0.15476516537461499</v>
      </c>
      <c r="GM264" s="5">
        <v>-4.1624599612359099E-2</v>
      </c>
      <c r="GN264" s="5">
        <v>0.61359392459405704</v>
      </c>
      <c r="GO264" s="5">
        <v>-0.21995779044757399</v>
      </c>
      <c r="GP264" s="5">
        <v>0.275526625103165</v>
      </c>
      <c r="GQ264" s="5">
        <v>-0.12341160278284</v>
      </c>
      <c r="GR264" s="5">
        <v>0.226113953891692</v>
      </c>
      <c r="GS264" s="5">
        <v>-8.7267596248596604E-2</v>
      </c>
      <c r="GT264" s="5">
        <v>0.44476578905180503</v>
      </c>
      <c r="GU264" s="5">
        <v>-2.27178364867596E-2</v>
      </c>
      <c r="GV264" s="5">
        <v>0.15306631214830299</v>
      </c>
      <c r="GW264" s="5">
        <v>-2.7792353141768301E-2</v>
      </c>
      <c r="GX264" s="5">
        <v>0.30892491906983099</v>
      </c>
      <c r="GY264" s="5">
        <v>-0.136837922588679</v>
      </c>
      <c r="GZ264" s="5">
        <v>0.30122973286071397</v>
      </c>
      <c r="HA264" s="5">
        <v>-8.4640162239278505E-2</v>
      </c>
      <c r="HB264" s="5">
        <v>0.11308637720754</v>
      </c>
      <c r="HC264" s="5">
        <v>1.6369216521363399E-2</v>
      </c>
      <c r="HD264" s="5">
        <v>0.57737794588219804</v>
      </c>
      <c r="HE264" s="5">
        <v>-9.24722422448402E-2</v>
      </c>
      <c r="HF264" s="5">
        <v>0.32781115749947298</v>
      </c>
      <c r="HG264" s="5">
        <v>-0.112876707352323</v>
      </c>
      <c r="HH264" s="5">
        <v>0.45774486465933101</v>
      </c>
      <c r="HI264" s="5">
        <v>-0.14658429150190999</v>
      </c>
      <c r="HJ264" s="5">
        <v>0.29433819769237402</v>
      </c>
      <c r="HK264" s="5">
        <v>-9.5958616136070193E-2</v>
      </c>
      <c r="HL264" s="5">
        <v>0.45628886726399298</v>
      </c>
      <c r="HM264" s="5">
        <v>-0.174407203639908</v>
      </c>
      <c r="HN264" s="5">
        <v>0.53831807998919501</v>
      </c>
      <c r="HO264" s="5">
        <v>-0.18155291534189899</v>
      </c>
      <c r="HP264" s="5">
        <v>0.32276926220883001</v>
      </c>
      <c r="HQ264" s="5">
        <v>-0.123925018607982</v>
      </c>
      <c r="HR264" s="5">
        <v>0.32401811491770499</v>
      </c>
      <c r="HS264" s="5">
        <v>-5.8114199304014999E-2</v>
      </c>
      <c r="HT264" s="5">
        <v>0.50451325999957597</v>
      </c>
      <c r="HU264" s="5">
        <v>-9.0476631490640197E-2</v>
      </c>
      <c r="HV264" s="5">
        <v>0.320875380601847</v>
      </c>
      <c r="HW264" s="5">
        <v>-0.19755932006156199</v>
      </c>
      <c r="HX264" s="5">
        <v>0.282654323896885</v>
      </c>
      <c r="HY264" s="5">
        <v>-0.126531561497054</v>
      </c>
      <c r="HZ264" s="5">
        <v>0.43365021070142301</v>
      </c>
      <c r="IA264" s="5">
        <v>-0.104632076211172</v>
      </c>
      <c r="IB264" s="5">
        <v>0.13490910099456399</v>
      </c>
      <c r="IC264" s="5">
        <v>1.2237827897355299E-2</v>
      </c>
      <c r="ID264" s="5">
        <v>0.26246098377900601</v>
      </c>
      <c r="IE264" s="5">
        <v>-9.2703065972618501E-2</v>
      </c>
      <c r="IF264" s="5">
        <v>0.33019207219493801</v>
      </c>
      <c r="IG264" s="5">
        <v>-0.20868639871845401</v>
      </c>
      <c r="IH264" s="5">
        <v>0.20125251291794799</v>
      </c>
      <c r="II264" s="5">
        <v>-8.5325915163101604E-2</v>
      </c>
      <c r="IJ264" s="5">
        <v>3.8364831670914201E-2</v>
      </c>
      <c r="IK264" s="5">
        <v>5.1708848113175297E-2</v>
      </c>
      <c r="IL264" s="5">
        <v>0.27589775703173602</v>
      </c>
      <c r="IM264" s="5">
        <v>-7.5926364682977004E-2</v>
      </c>
      <c r="IN264" s="5">
        <v>0.221650247693502</v>
      </c>
      <c r="IO264" s="5">
        <v>-8.8922197454016402E-2</v>
      </c>
      <c r="IP264" s="5">
        <v>0.33414572009982402</v>
      </c>
      <c r="IQ264" s="5">
        <v>-0.120805208311278</v>
      </c>
      <c r="IR264" s="5">
        <v>0.24548641426617199</v>
      </c>
      <c r="IS264" s="5">
        <v>-9.5146389702433901E-2</v>
      </c>
      <c r="IT264" s="5">
        <v>0.28464190971465603</v>
      </c>
      <c r="IU264" s="5">
        <v>-0.142118528361385</v>
      </c>
      <c r="IV264" s="5">
        <v>0.22069313474221999</v>
      </c>
      <c r="IW264" s="5">
        <v>-0.10701353387700301</v>
      </c>
      <c r="IX264" s="5">
        <v>0.172269212159913</v>
      </c>
      <c r="IY264" s="5">
        <v>-3.5208945696860401E-2</v>
      </c>
      <c r="IZ264" s="5">
        <v>0.43017986273181702</v>
      </c>
      <c r="JA264" s="5">
        <v>-0.14149838248651</v>
      </c>
      <c r="JB264" s="5">
        <v>0.21852196417230299</v>
      </c>
      <c r="JC264" s="5">
        <v>-5.8188957127817603E-2</v>
      </c>
      <c r="JD264" s="5">
        <v>1</v>
      </c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</row>
    <row r="265" spans="1:389" x14ac:dyDescent="0.45">
      <c r="A265" s="4" t="str">
        <f ca="1">"NPL / beta2dist in "&amp;CELL("address",'damages-1990'!$K$133)</f>
        <v>NPL / beta2dist in '[BHM betas v3pd.xlsx]damages-1990'!$K$133</v>
      </c>
      <c r="B265" s="6">
        <v>-0.418584936817811</v>
      </c>
      <c r="C265" s="5">
        <v>0.655058536491681</v>
      </c>
      <c r="D265" s="5">
        <v>0.134170487316319</v>
      </c>
      <c r="E265" s="5">
        <v>0.20059517887897901</v>
      </c>
      <c r="F265" s="5">
        <v>-0.110691286161635</v>
      </c>
      <c r="G265" s="5">
        <v>6.83427351875492E-2</v>
      </c>
      <c r="H265" s="5">
        <v>-0.204408530432763</v>
      </c>
      <c r="I265" s="5">
        <v>9.8021459641417091E-3</v>
      </c>
      <c r="J265" s="5">
        <v>6.5296897537990103E-2</v>
      </c>
      <c r="K265" s="5">
        <v>0.27160622705648901</v>
      </c>
      <c r="L265" s="5">
        <v>-8.84073480233947E-2</v>
      </c>
      <c r="M265" s="5">
        <v>0.23391878969610599</v>
      </c>
      <c r="N265" s="5">
        <v>-0.17686584316224199</v>
      </c>
      <c r="O265" s="5">
        <v>-2.7990603229067299E-2</v>
      </c>
      <c r="P265" s="5">
        <v>-0.117681810456833</v>
      </c>
      <c r="Q265" s="5">
        <v>0.29345700786601298</v>
      </c>
      <c r="R265" s="5">
        <v>0.200622353802826</v>
      </c>
      <c r="S265" s="5">
        <v>8.5789032487074798E-2</v>
      </c>
      <c r="T265" s="5">
        <v>-0.32024318741267799</v>
      </c>
      <c r="U265" s="5">
        <v>0.19776304976315501</v>
      </c>
      <c r="V265" s="5">
        <v>-0.17089237718334199</v>
      </c>
      <c r="W265" s="5">
        <v>0.26969799943009298</v>
      </c>
      <c r="X265" s="5">
        <v>0.179459890738982</v>
      </c>
      <c r="Y265" s="5">
        <v>8.5620218373339899E-2</v>
      </c>
      <c r="Z265" s="5">
        <v>-0.27198130228689299</v>
      </c>
      <c r="AA265" s="5">
        <v>0.19019505884545199</v>
      </c>
      <c r="AB265" s="5">
        <v>5.8636478490674798E-2</v>
      </c>
      <c r="AC265" s="5">
        <v>0.28414551887867701</v>
      </c>
      <c r="AD265" s="5">
        <v>-5.6662968504997697E-2</v>
      </c>
      <c r="AE265" s="5">
        <v>0.37290897049571298</v>
      </c>
      <c r="AF265" s="5">
        <v>8.8563042270179304E-2</v>
      </c>
      <c r="AG265" s="5">
        <v>0.22068900481615</v>
      </c>
      <c r="AH265" s="5">
        <v>-0.165124403160823</v>
      </c>
      <c r="AI265" s="5">
        <v>9.9051804384760994E-2</v>
      </c>
      <c r="AJ265" s="5">
        <v>5.0870772670464699E-2</v>
      </c>
      <c r="AK265" s="5">
        <v>0.28496002462658698</v>
      </c>
      <c r="AL265" s="5">
        <v>0.51422042467357998</v>
      </c>
      <c r="AM265" s="5">
        <v>-0.41612542189558899</v>
      </c>
      <c r="AN265" s="5">
        <v>-0.270647398218341</v>
      </c>
      <c r="AO265" s="5">
        <v>0.173566154960964</v>
      </c>
      <c r="AP265" s="5">
        <v>-0.37069435477428597</v>
      </c>
      <c r="AQ265" s="5">
        <v>0.272463916947217</v>
      </c>
      <c r="AR265" s="5">
        <v>0.31330885563640298</v>
      </c>
      <c r="AS265" s="5">
        <v>-9.3506495531816905E-2</v>
      </c>
      <c r="AT265" s="5">
        <v>0.265650451820935</v>
      </c>
      <c r="AU265" s="5">
        <v>-6.6980218084229701E-2</v>
      </c>
      <c r="AV265" s="5">
        <v>0.25097703214064399</v>
      </c>
      <c r="AW265" s="5">
        <v>6.6671880544945397E-2</v>
      </c>
      <c r="AX265" s="5">
        <v>0.278786018885394</v>
      </c>
      <c r="AY265" s="5">
        <v>3.3454739028843598E-2</v>
      </c>
      <c r="AZ265" s="5">
        <v>-0.13191085233602601</v>
      </c>
      <c r="BA265" s="5">
        <v>0.30139624892556199</v>
      </c>
      <c r="BB265" s="5">
        <v>0.21545406323142299</v>
      </c>
      <c r="BC265" s="5">
        <v>0.16313351607076801</v>
      </c>
      <c r="BD265" s="5">
        <v>-0.39484838288704299</v>
      </c>
      <c r="BE265" s="5">
        <v>0.51946443816724297</v>
      </c>
      <c r="BF265" s="5">
        <v>4.8606964081087202E-2</v>
      </c>
      <c r="BG265" s="5">
        <v>0.262264935304034</v>
      </c>
      <c r="BH265" s="5">
        <v>0.13085662653660499</v>
      </c>
      <c r="BI265" s="5">
        <v>0.223508179626727</v>
      </c>
      <c r="BJ265" s="5">
        <v>-0.369217224893992</v>
      </c>
      <c r="BK265" s="5">
        <v>8.8084717192671996E-2</v>
      </c>
      <c r="BL265" s="5">
        <v>-0.30252347197034501</v>
      </c>
      <c r="BM265" s="5">
        <v>0.14159076523870401</v>
      </c>
      <c r="BN265" s="5">
        <v>-0.28331088281030897</v>
      </c>
      <c r="BO265" s="5">
        <v>9.9446030612464195E-2</v>
      </c>
      <c r="BP265" s="5">
        <v>-0.37941285788537299</v>
      </c>
      <c r="BQ265" s="5">
        <v>0.239036884519784</v>
      </c>
      <c r="BR265" s="5">
        <v>5.4963746745782097E-2</v>
      </c>
      <c r="BS265" s="5">
        <v>0.249990983686596</v>
      </c>
      <c r="BT265" s="5">
        <v>0.17309724402795501</v>
      </c>
      <c r="BU265" s="5">
        <v>0.19500354646429299</v>
      </c>
      <c r="BV265" s="5">
        <v>0.25367744848057799</v>
      </c>
      <c r="BW265" s="5">
        <v>7.4353900670412698E-2</v>
      </c>
      <c r="BX265" s="5">
        <v>0.219298189853948</v>
      </c>
      <c r="BY265" s="5">
        <v>8.5684627387752205E-2</v>
      </c>
      <c r="BZ265" s="5">
        <v>0.28180133932843199</v>
      </c>
      <c r="CA265" s="5">
        <v>3.4714909992903699E-2</v>
      </c>
      <c r="CB265" s="5">
        <v>0.395841225962342</v>
      </c>
      <c r="CC265" s="5">
        <v>-0.19036432789057101</v>
      </c>
      <c r="CD265" s="5">
        <v>-0.120924222998728</v>
      </c>
      <c r="CE265" s="5">
        <v>0.34239585492390301</v>
      </c>
      <c r="CF265" s="5">
        <v>7.0903547142184498E-2</v>
      </c>
      <c r="CG265" s="5">
        <v>0.15627389801631</v>
      </c>
      <c r="CH265" s="5">
        <v>0.50111645786598702</v>
      </c>
      <c r="CI265" s="5">
        <v>-0.39597333955645703</v>
      </c>
      <c r="CJ265" s="5">
        <v>0.14733518774316201</v>
      </c>
      <c r="CK265" s="5">
        <v>-6.2051145923529998E-2</v>
      </c>
      <c r="CL265" s="5">
        <v>-0.28053041431774201</v>
      </c>
      <c r="CM265" s="5">
        <v>0.173754473620614</v>
      </c>
      <c r="CN265" s="5">
        <v>-0.27556613464607399</v>
      </c>
      <c r="CO265" s="5">
        <v>0.17319624741794401</v>
      </c>
      <c r="CP265" s="5">
        <v>-6.4562041591833305E-2</v>
      </c>
      <c r="CQ265" s="5">
        <v>0.283158650055223</v>
      </c>
      <c r="CR265" s="5">
        <v>-8.38716832610365E-2</v>
      </c>
      <c r="CS265" s="5">
        <v>0.24602026253502199</v>
      </c>
      <c r="CT265" s="5">
        <v>-0.232362097153756</v>
      </c>
      <c r="CU265" s="5">
        <v>0.129013770374867</v>
      </c>
      <c r="CV265" s="5">
        <v>0.144139625452019</v>
      </c>
      <c r="CW265" s="5">
        <v>5.4923253738725702E-3</v>
      </c>
      <c r="CX265" s="5">
        <v>1.20412911989018E-2</v>
      </c>
      <c r="CY265" s="5">
        <v>0.31148477871654501</v>
      </c>
      <c r="CZ265" s="5">
        <v>0.27834451507726099</v>
      </c>
      <c r="DA265" s="5">
        <v>-1.01212366583455E-2</v>
      </c>
      <c r="DB265" s="5">
        <v>0.107365287220109</v>
      </c>
      <c r="DC265" s="5">
        <v>0.18199816428820401</v>
      </c>
      <c r="DD265" s="5">
        <v>-0.179561534338154</v>
      </c>
      <c r="DE265" s="5">
        <v>0.41977924088921997</v>
      </c>
      <c r="DF265" s="5">
        <v>-2.6995416842816099E-2</v>
      </c>
      <c r="DG265" s="5">
        <v>0.31397121576181503</v>
      </c>
      <c r="DH265" s="5">
        <v>-0.13382501593559301</v>
      </c>
      <c r="DI265" s="5">
        <v>0.218411198048477</v>
      </c>
      <c r="DJ265" s="5">
        <v>-0.34121403038975401</v>
      </c>
      <c r="DK265" s="5">
        <v>0.230077535342541</v>
      </c>
      <c r="DL265" s="5">
        <v>8.07204773767147E-2</v>
      </c>
      <c r="DM265" s="5">
        <v>0.22717158214465699</v>
      </c>
      <c r="DN265" s="5">
        <v>-0.38563356919323599</v>
      </c>
      <c r="DO265" s="5">
        <v>0.235016950068276</v>
      </c>
      <c r="DP265" s="5">
        <v>0.19866238305713099</v>
      </c>
      <c r="DQ265" s="5">
        <v>2.4910524068170702E-3</v>
      </c>
      <c r="DR265" s="5">
        <v>-0.24556654246579299</v>
      </c>
      <c r="DS265" s="5">
        <v>0.21895854046507199</v>
      </c>
      <c r="DT265" s="5">
        <v>0.12709389070605501</v>
      </c>
      <c r="DU265" s="5">
        <v>3.0207348653629201E-2</v>
      </c>
      <c r="DV265" s="5">
        <v>0.173224207211712</v>
      </c>
      <c r="DW265" s="5">
        <v>9.2250508392525105E-2</v>
      </c>
      <c r="DX265" s="5">
        <v>-0.35037237239052499</v>
      </c>
      <c r="DY265" s="5">
        <v>0.26351610896537397</v>
      </c>
      <c r="DZ265" s="5">
        <v>-0.246511891582649</v>
      </c>
      <c r="EA265" s="5">
        <v>7.7946735080631602E-2</v>
      </c>
      <c r="EB265" s="5">
        <v>4.1859371031508399E-2</v>
      </c>
      <c r="EC265" s="5">
        <v>0.25817524178366102</v>
      </c>
      <c r="ED265" s="5">
        <v>6.0043245509336797E-2</v>
      </c>
      <c r="EE265" s="5">
        <v>0.27075736301936099</v>
      </c>
      <c r="EF265" s="5">
        <v>-0.113218665470045</v>
      </c>
      <c r="EG265" s="5">
        <v>0.27072129052816302</v>
      </c>
      <c r="EH265" s="5">
        <v>3.5740014927625498E-2</v>
      </c>
      <c r="EI265" s="5">
        <v>0.32560851284743703</v>
      </c>
      <c r="EJ265" s="5">
        <v>1.60016574432474E-2</v>
      </c>
      <c r="EK265" s="5">
        <v>0.33772985553177398</v>
      </c>
      <c r="EL265" s="5">
        <v>0.28298446831679502</v>
      </c>
      <c r="EM265" s="5">
        <v>1.64349069404045E-2</v>
      </c>
      <c r="EN265" s="5">
        <v>0.120154253224274</v>
      </c>
      <c r="EO265" s="5">
        <v>-0.119280449470112</v>
      </c>
      <c r="EP265" s="5">
        <v>-5.5023383853066897E-2</v>
      </c>
      <c r="EQ265" s="5">
        <v>0.221546884708409</v>
      </c>
      <c r="ER265" s="5">
        <v>0.25637862133761702</v>
      </c>
      <c r="ES265" s="5">
        <v>-2.95299355104288E-2</v>
      </c>
      <c r="ET265" s="5">
        <v>0.11752517687874101</v>
      </c>
      <c r="EU265" s="5">
        <v>0.14865924912502801</v>
      </c>
      <c r="EV265" s="5">
        <v>0.13108723429767599</v>
      </c>
      <c r="EW265" s="5">
        <v>0.13746643119359001</v>
      </c>
      <c r="EX265" s="5">
        <v>0.24551927633179299</v>
      </c>
      <c r="EY265" s="5">
        <v>-2.6603207607272701E-2</v>
      </c>
      <c r="EZ265" s="5">
        <v>0.20310942111875499</v>
      </c>
      <c r="FA265" s="5">
        <v>5.8432037408708802E-2</v>
      </c>
      <c r="FB265" s="5">
        <v>-0.17578605243995499</v>
      </c>
      <c r="FC265" s="5">
        <v>0.130087453293009</v>
      </c>
      <c r="FD265" s="5">
        <v>0.26619763517405998</v>
      </c>
      <c r="FE265" s="5">
        <v>-0.111223836514119</v>
      </c>
      <c r="FF265" s="5">
        <v>-0.197726791753144</v>
      </c>
      <c r="FG265" s="5">
        <v>0.129692073376934</v>
      </c>
      <c r="FH265" s="5">
        <v>0.34452667867724601</v>
      </c>
      <c r="FI265" s="5">
        <v>-7.3514704161068395E-2</v>
      </c>
      <c r="FJ265" s="5">
        <v>-0.119174057213915</v>
      </c>
      <c r="FK265" s="5">
        <v>0.50236125702428402</v>
      </c>
      <c r="FL265" s="5">
        <v>-0.32517674269618202</v>
      </c>
      <c r="FM265" s="5">
        <v>0.22247800887199601</v>
      </c>
      <c r="FN265" s="5">
        <v>-0.185185733899421</v>
      </c>
      <c r="FO265" s="5">
        <v>0.42372481503885001</v>
      </c>
      <c r="FP265" s="5">
        <v>0.117368004196946</v>
      </c>
      <c r="FQ265" s="5">
        <v>0.124057991788994</v>
      </c>
      <c r="FR265" s="5">
        <v>-0.148178031056721</v>
      </c>
      <c r="FS265" s="5">
        <v>-1.23713698727529E-3</v>
      </c>
      <c r="FT265" s="5">
        <v>0.15422076945006999</v>
      </c>
      <c r="FU265" s="5">
        <v>3.9120378600485103E-2</v>
      </c>
      <c r="FV265" s="5">
        <v>-0.120744789600884</v>
      </c>
      <c r="FW265" s="5">
        <v>0.15712972509804601</v>
      </c>
      <c r="FX265" s="5">
        <v>0.31899537466014799</v>
      </c>
      <c r="FY265" s="5">
        <v>-0.14946882926347699</v>
      </c>
      <c r="FZ265" s="5">
        <v>0.15320009932166001</v>
      </c>
      <c r="GA265" s="5">
        <v>5.81878538034089E-2</v>
      </c>
      <c r="GB265" s="5">
        <v>-0.25956576552866301</v>
      </c>
      <c r="GC265" s="5">
        <v>0.26303384622697101</v>
      </c>
      <c r="GD265" s="5">
        <v>-0.201658161714523</v>
      </c>
      <c r="GE265" s="5">
        <v>8.4464127479892501E-2</v>
      </c>
      <c r="GF265" s="5">
        <v>0.14205264397672299</v>
      </c>
      <c r="GG265" s="5">
        <v>0.20998921833996301</v>
      </c>
      <c r="GH265" s="5">
        <v>-0.127092632906424</v>
      </c>
      <c r="GI265" s="5">
        <v>-0.15079493559923801</v>
      </c>
      <c r="GJ265" s="5">
        <v>0.247633473024543</v>
      </c>
      <c r="GK265" s="5">
        <v>1.29073466862269E-2</v>
      </c>
      <c r="GL265" s="5">
        <v>-0.110045359614764</v>
      </c>
      <c r="GM265" s="5">
        <v>0.266215291674954</v>
      </c>
      <c r="GN265" s="5">
        <v>-0.228235915223193</v>
      </c>
      <c r="GO265" s="5">
        <v>0.27360262147129599</v>
      </c>
      <c r="GP265" s="5">
        <v>6.6524768498346307E-2</v>
      </c>
      <c r="GQ265" s="5">
        <v>0.23638897728524699</v>
      </c>
      <c r="GR265" s="5">
        <v>0.22048324030135799</v>
      </c>
      <c r="GS265" s="5">
        <v>1.6683675880849999E-2</v>
      </c>
      <c r="GT265" s="5">
        <v>6.4526821452450894E-2</v>
      </c>
      <c r="GU265" s="5">
        <v>-3.09284345804701E-2</v>
      </c>
      <c r="GV265" s="5">
        <v>0.184734075089411</v>
      </c>
      <c r="GW265" s="5">
        <v>9.3363397743519899E-2</v>
      </c>
      <c r="GX265" s="5">
        <v>9.2158400116623004E-2</v>
      </c>
      <c r="GY265" s="5">
        <v>0.15714120965669701</v>
      </c>
      <c r="GZ265" s="5">
        <v>-0.30590574081448002</v>
      </c>
      <c r="HA265" s="5">
        <v>0.152143867460071</v>
      </c>
      <c r="HB265" s="5">
        <v>0.36436889999397298</v>
      </c>
      <c r="HC265" s="5">
        <v>-6.5896665582592495E-2</v>
      </c>
      <c r="HD265" s="5">
        <v>-0.26357126225489202</v>
      </c>
      <c r="HE265" s="5">
        <v>0.38919723939623702</v>
      </c>
      <c r="HF265" s="5">
        <v>-0.34302242725946203</v>
      </c>
      <c r="HG265" s="5">
        <v>0.240215253015203</v>
      </c>
      <c r="HH265" s="5">
        <v>-0.27774936944295497</v>
      </c>
      <c r="HI265" s="5">
        <v>0.17918291684885501</v>
      </c>
      <c r="HJ265" s="5">
        <v>-0.33446474935176301</v>
      </c>
      <c r="HK265" s="5">
        <v>0.22637494624725199</v>
      </c>
      <c r="HL265" s="5">
        <v>-5.1351336180968501E-2</v>
      </c>
      <c r="HM265" s="5">
        <v>0.30302733264855097</v>
      </c>
      <c r="HN265" s="5">
        <v>-0.27586081450558497</v>
      </c>
      <c r="HO265" s="5">
        <v>0.21895737543362501</v>
      </c>
      <c r="HP265" s="5">
        <v>0.15790524238394199</v>
      </c>
      <c r="HQ265" s="5">
        <v>0.17108634720315299</v>
      </c>
      <c r="HR265" s="5">
        <v>0.25114739840044198</v>
      </c>
      <c r="HS265" s="5">
        <v>-7.6416807748542606E-2</v>
      </c>
      <c r="HT265" s="5">
        <v>-0.19265281087823699</v>
      </c>
      <c r="HU265" s="5">
        <v>0.116270766762941</v>
      </c>
      <c r="HV265" s="5">
        <v>-5.4506271238120498E-2</v>
      </c>
      <c r="HW265" s="5">
        <v>0.38452765936821798</v>
      </c>
      <c r="HX265" s="5">
        <v>0.20970745333955701</v>
      </c>
      <c r="HY265" s="5">
        <v>0.13127770295689201</v>
      </c>
      <c r="HZ265" s="5">
        <v>-0.28870436878692501</v>
      </c>
      <c r="IA265" s="5">
        <v>0.17511857202891901</v>
      </c>
      <c r="IB265" s="5">
        <v>-0.18510348451946201</v>
      </c>
      <c r="IC265" s="5">
        <v>2.9275009038026701E-2</v>
      </c>
      <c r="ID265" s="5">
        <v>0.15413599803556</v>
      </c>
      <c r="IE265" s="5">
        <v>0.208762718160379</v>
      </c>
      <c r="IF265" s="5">
        <v>-1.9569554543666899E-2</v>
      </c>
      <c r="IG265" s="5">
        <v>0.39322939718768302</v>
      </c>
      <c r="IH265" s="5">
        <v>-9.5897900792302995E-2</v>
      </c>
      <c r="II265" s="5">
        <v>0.27394561753129498</v>
      </c>
      <c r="IJ265" s="5">
        <v>0.33945928364512701</v>
      </c>
      <c r="IK265" s="5">
        <v>-0.21917798010817499</v>
      </c>
      <c r="IL265" s="5">
        <v>0.155731877620406</v>
      </c>
      <c r="IM265" s="5">
        <v>0.14603156111221899</v>
      </c>
      <c r="IN265" s="5">
        <v>0.28564033619491003</v>
      </c>
      <c r="IO265" s="5">
        <v>5.8828228587067703E-2</v>
      </c>
      <c r="IP265" s="5">
        <v>8.25962627236521E-2</v>
      </c>
      <c r="IQ265" s="5">
        <v>0.242117635231378</v>
      </c>
      <c r="IR265" s="5">
        <v>7.6925673036359304E-2</v>
      </c>
      <c r="IS265" s="5">
        <v>0.11275726597117899</v>
      </c>
      <c r="IT265" s="5">
        <v>2.1680317711020702E-2</v>
      </c>
      <c r="IU265" s="5">
        <v>0.29041458104017298</v>
      </c>
      <c r="IV265" s="5">
        <v>1.25909240022141E-2</v>
      </c>
      <c r="IW265" s="5">
        <v>0.30267411673938899</v>
      </c>
      <c r="IX265" s="5">
        <v>0.15659193685773001</v>
      </c>
      <c r="IY265" s="5">
        <v>9.1339704396093097E-2</v>
      </c>
      <c r="IZ265" s="5">
        <v>-0.23433451465963401</v>
      </c>
      <c r="JA265" s="5">
        <v>0.14978509957097799</v>
      </c>
      <c r="JB265" s="5">
        <v>-0.37857215715093301</v>
      </c>
      <c r="JC265" s="5">
        <v>0.225120579164726</v>
      </c>
      <c r="JD265" s="5">
        <v>-0.66267694437501101</v>
      </c>
      <c r="JE265" s="5">
        <v>1</v>
      </c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</row>
    <row r="266" spans="1:389" x14ac:dyDescent="0.45">
      <c r="A266" s="4" t="str">
        <f ca="1">"NRU / beta1dist in "&amp;CELL("address",'damages-1990'!$J$134)</f>
        <v>NRU / beta1dist in '[BHM betas v3pd.xlsx]damages-1990'!$J$134</v>
      </c>
      <c r="B266" s="6">
        <v>-3.1922257499048597E-2</v>
      </c>
      <c r="C266" s="5">
        <v>0.33190128461345197</v>
      </c>
      <c r="D266" s="5">
        <v>0.49931031103922702</v>
      </c>
      <c r="E266" s="5">
        <v>-0.27900894130335901</v>
      </c>
      <c r="F266" s="5">
        <v>-1.2269227316264101E-2</v>
      </c>
      <c r="G266" s="5">
        <v>0.180172881853877</v>
      </c>
      <c r="H266" s="5">
        <v>4.9765189265445299E-2</v>
      </c>
      <c r="I266" s="5">
        <v>-0.16013690175519699</v>
      </c>
      <c r="J266" s="5">
        <v>0.13313203118877701</v>
      </c>
      <c r="K266" s="5">
        <v>0.15168361719679299</v>
      </c>
      <c r="L266" s="5">
        <v>0.19795425274432801</v>
      </c>
      <c r="M266" s="5">
        <v>8.0015678252729594E-2</v>
      </c>
      <c r="N266" s="5">
        <v>2.85296809072807E-2</v>
      </c>
      <c r="O266" s="5">
        <v>-7.8267159836022296E-2</v>
      </c>
      <c r="P266" s="5">
        <v>0.29871115077472898</v>
      </c>
      <c r="Q266" s="5">
        <v>-0.22720098112168199</v>
      </c>
      <c r="R266" s="5">
        <v>0.41905326063292198</v>
      </c>
      <c r="S266" s="5">
        <v>-0.26081377346224</v>
      </c>
      <c r="T266" s="5">
        <v>9.6047779869595604E-2</v>
      </c>
      <c r="U266" s="5">
        <v>-0.168896722630723</v>
      </c>
      <c r="V266" s="5">
        <v>9.2991776087490097E-2</v>
      </c>
      <c r="W266" s="5">
        <v>0.11907073061516001</v>
      </c>
      <c r="X266" s="5">
        <v>0.51319114804174004</v>
      </c>
      <c r="Y266" s="5">
        <v>-0.27913479499135402</v>
      </c>
      <c r="Z266" s="5">
        <v>5.3958238382968399E-2</v>
      </c>
      <c r="AA266" s="5">
        <v>-6.56075049778852E-2</v>
      </c>
      <c r="AB266" s="5">
        <v>0.431585934743764</v>
      </c>
      <c r="AC266" s="5">
        <v>-0.25388479872033898</v>
      </c>
      <c r="AD266" s="5">
        <v>0.28414403734475802</v>
      </c>
      <c r="AE266" s="5">
        <v>-9.1303547835702298E-2</v>
      </c>
      <c r="AF266" s="5">
        <v>0.407280117313912</v>
      </c>
      <c r="AG266" s="5">
        <v>-0.22538806018654101</v>
      </c>
      <c r="AH266" s="5">
        <v>-2.9215586741424002E-3</v>
      </c>
      <c r="AI266" s="5">
        <v>0.109935476424359</v>
      </c>
      <c r="AJ266" s="5">
        <v>7.1036083630116098E-2</v>
      </c>
      <c r="AK266" s="5">
        <v>0.1859958594169</v>
      </c>
      <c r="AL266" s="5">
        <v>0.13612868432108399</v>
      </c>
      <c r="AM266" s="5">
        <v>5.0899081846423298E-2</v>
      </c>
      <c r="AN266" s="5">
        <v>2.2252684095409401E-2</v>
      </c>
      <c r="AO266" s="5">
        <v>-1.16790484457361E-2</v>
      </c>
      <c r="AP266" s="5">
        <v>6.3918749309887807E-2</v>
      </c>
      <c r="AQ266" s="5">
        <v>-0.14021435536227</v>
      </c>
      <c r="AR266" s="5">
        <v>0.271087721758212</v>
      </c>
      <c r="AS266" s="5">
        <v>-0.106463534584647</v>
      </c>
      <c r="AT266" s="5">
        <v>-1.8091110766594701E-2</v>
      </c>
      <c r="AU266" s="5">
        <v>0.25531063705679902</v>
      </c>
      <c r="AV266" s="5">
        <v>0.51646411340700005</v>
      </c>
      <c r="AW266" s="5">
        <v>-0.40580341383263502</v>
      </c>
      <c r="AX266" s="5">
        <v>0.503723858053019</v>
      </c>
      <c r="AY266" s="5">
        <v>-0.363190092845949</v>
      </c>
      <c r="AZ266" s="5">
        <v>0.37168361832040098</v>
      </c>
      <c r="BA266" s="5">
        <v>-0.28581116495901998</v>
      </c>
      <c r="BB266" s="5">
        <v>0.30700974903657602</v>
      </c>
      <c r="BC266" s="5">
        <v>-7.3674460215295307E-2</v>
      </c>
      <c r="BD266" s="5">
        <v>-6.8311499015046906E-2</v>
      </c>
      <c r="BE266" s="5">
        <v>0.31436782014779202</v>
      </c>
      <c r="BF266" s="5">
        <v>0.38912297336590701</v>
      </c>
      <c r="BG266" s="5">
        <v>-0.225106493148159</v>
      </c>
      <c r="BH266" s="5">
        <v>0.42734246411898003</v>
      </c>
      <c r="BI266" s="5">
        <v>-0.24502042447146399</v>
      </c>
      <c r="BJ266" s="5">
        <v>-0.219634808512504</v>
      </c>
      <c r="BK266" s="5">
        <v>0.11563814973615</v>
      </c>
      <c r="BL266" s="5">
        <v>0.108287255219445</v>
      </c>
      <c r="BM266" s="5">
        <v>-0.21898744978420101</v>
      </c>
      <c r="BN266" s="5">
        <v>-0.13234910298246599</v>
      </c>
      <c r="BO266" s="5">
        <v>0.165069085224817</v>
      </c>
      <c r="BP266" s="5">
        <v>-0.19730203317242501</v>
      </c>
      <c r="BQ266" s="5">
        <v>0.30124728354091901</v>
      </c>
      <c r="BR266" s="5">
        <v>0.33451774102750498</v>
      </c>
      <c r="BS266" s="5">
        <v>-0.14576109326697201</v>
      </c>
      <c r="BT266" s="5">
        <v>0.41944117554710603</v>
      </c>
      <c r="BU266" s="5">
        <v>-0.23232806551879101</v>
      </c>
      <c r="BV266" s="5">
        <v>0.42152390071900903</v>
      </c>
      <c r="BW266" s="5">
        <v>-0.19842943327726201</v>
      </c>
      <c r="BX266" s="5">
        <v>0.47915729001651702</v>
      </c>
      <c r="BY266" s="5">
        <v>-0.31102667269038498</v>
      </c>
      <c r="BZ266" s="5">
        <v>0.55322929879910399</v>
      </c>
      <c r="CA266" s="5">
        <v>-0.36919241225379001</v>
      </c>
      <c r="CB266" s="5">
        <v>0.43424045913687798</v>
      </c>
      <c r="CC266" s="5">
        <v>-0.35355178668190501</v>
      </c>
      <c r="CD266" s="5">
        <v>-3.4576783286563197E-2</v>
      </c>
      <c r="CE266" s="5">
        <v>0.124194057937315</v>
      </c>
      <c r="CF266" s="5">
        <v>0.41715041886488202</v>
      </c>
      <c r="CG266" s="5">
        <v>-0.26105576394200303</v>
      </c>
      <c r="CH266" s="5">
        <v>0.14684495619301799</v>
      </c>
      <c r="CI266" s="5">
        <v>2.3317791759472298E-2</v>
      </c>
      <c r="CJ266" s="5">
        <v>4.14627211433517E-2</v>
      </c>
      <c r="CK266" s="5">
        <v>0.14675238972750701</v>
      </c>
      <c r="CL266" s="5">
        <v>9.3467584057039296E-2</v>
      </c>
      <c r="CM266" s="5">
        <v>-0.14164792040311</v>
      </c>
      <c r="CN266" s="5">
        <v>7.8411931834004606E-2</v>
      </c>
      <c r="CO266" s="5">
        <v>-0.116229290782819</v>
      </c>
      <c r="CP266" s="5">
        <v>0.25600535561611498</v>
      </c>
      <c r="CQ266" s="5">
        <v>-0.103431704901359</v>
      </c>
      <c r="CR266" s="5">
        <v>0.34916630454293002</v>
      </c>
      <c r="CS266" s="5">
        <v>-0.27228983326072298</v>
      </c>
      <c r="CT266" s="5">
        <v>8.72743583362251E-2</v>
      </c>
      <c r="CU266" s="5">
        <v>-0.151096934335163</v>
      </c>
      <c r="CV266" s="5">
        <v>0.36357857245980202</v>
      </c>
      <c r="CW266" s="5">
        <v>-0.28640137756508999</v>
      </c>
      <c r="CX266" s="5">
        <v>0.30406487966747597</v>
      </c>
      <c r="CY266" s="5">
        <v>-7.3812544970933702E-2</v>
      </c>
      <c r="CZ266" s="5">
        <v>0.58440051445380303</v>
      </c>
      <c r="DA266" s="5">
        <v>-0.41943134497280099</v>
      </c>
      <c r="DB266" s="5">
        <v>0.33640235591309497</v>
      </c>
      <c r="DC266" s="5">
        <v>-9.6046753249979799E-2</v>
      </c>
      <c r="DD266" s="5">
        <v>0.26401149830604898</v>
      </c>
      <c r="DE266" s="5">
        <v>-0.102733232156852</v>
      </c>
      <c r="DF266" s="5">
        <v>8.4202185303948296E-2</v>
      </c>
      <c r="DG266" s="5">
        <v>0.124932611540408</v>
      </c>
      <c r="DH266" s="5">
        <v>5.4801925538816298E-2</v>
      </c>
      <c r="DI266" s="5">
        <v>0.15669686027073301</v>
      </c>
      <c r="DJ266" s="5">
        <v>8.71029169980405E-3</v>
      </c>
      <c r="DK266" s="5">
        <v>-9.6313165287437705E-2</v>
      </c>
      <c r="DL266" s="5">
        <v>0.29985601734130202</v>
      </c>
      <c r="DM266" s="5">
        <v>-9.2072915140042705E-2</v>
      </c>
      <c r="DN266" s="5">
        <v>-6.5223985541397494E-2</v>
      </c>
      <c r="DO266" s="5">
        <v>-6.4030927035717097E-2</v>
      </c>
      <c r="DP266" s="5">
        <v>9.4325086602019506E-2</v>
      </c>
      <c r="DQ266" s="5">
        <v>0.12083927017414001</v>
      </c>
      <c r="DR266" s="5">
        <v>5.0100611588939699E-2</v>
      </c>
      <c r="DS266" s="5">
        <v>2.1487353027859101E-2</v>
      </c>
      <c r="DT266" s="5">
        <v>0.33354165301587901</v>
      </c>
      <c r="DU266" s="5">
        <v>-0.215791030364648</v>
      </c>
      <c r="DV266" s="5">
        <v>0.443431674819593</v>
      </c>
      <c r="DW266" s="5">
        <v>-0.30317251952736801</v>
      </c>
      <c r="DX266" s="5">
        <v>6.5453180029718203E-3</v>
      </c>
      <c r="DY266" s="5">
        <v>-5.0999772549956399E-2</v>
      </c>
      <c r="DZ266" s="5">
        <v>2.88532192614132E-2</v>
      </c>
      <c r="EA266" s="5">
        <v>-8.7758501512854803E-2</v>
      </c>
      <c r="EB266" s="5">
        <v>0.35698817218593498</v>
      </c>
      <c r="EC266" s="5">
        <v>-0.17181693687755101</v>
      </c>
      <c r="ED266" s="5">
        <v>0.419903812045058</v>
      </c>
      <c r="EE266" s="5">
        <v>-0.207981377120632</v>
      </c>
      <c r="EF266" s="5">
        <v>0.32350403362705499</v>
      </c>
      <c r="EG266" s="5">
        <v>-0.24887525738255001</v>
      </c>
      <c r="EH266" s="5">
        <v>0.25668753432936198</v>
      </c>
      <c r="EI266" s="5">
        <v>-4.1921366447044799E-2</v>
      </c>
      <c r="EJ266" s="5">
        <v>0.25627810058946998</v>
      </c>
      <c r="EK266" s="5">
        <v>-6.1621834294003697E-2</v>
      </c>
      <c r="EL266" s="5">
        <v>0.47315230144807002</v>
      </c>
      <c r="EM266" s="5">
        <v>-0.30484494143570401</v>
      </c>
      <c r="EN266" s="5">
        <v>-1.88047222402224E-3</v>
      </c>
      <c r="EO266" s="5">
        <v>0.206069578151022</v>
      </c>
      <c r="EP266" s="5">
        <v>0.42432866925958501</v>
      </c>
      <c r="EQ266" s="5">
        <v>-0.35761087871588898</v>
      </c>
      <c r="ER266" s="5">
        <v>0.29466997862112498</v>
      </c>
      <c r="ES266" s="5">
        <v>-0.117416720147152</v>
      </c>
      <c r="ET266" s="5">
        <v>0.39308102791606497</v>
      </c>
      <c r="EU266" s="5">
        <v>-0.29595357976122</v>
      </c>
      <c r="EV266" s="5">
        <v>0.42954355906167602</v>
      </c>
      <c r="EW266" s="5">
        <v>-0.32029573192824101</v>
      </c>
      <c r="EX266" s="5">
        <v>0.41444677039262201</v>
      </c>
      <c r="EY266" s="5">
        <v>-0.38543076537606102</v>
      </c>
      <c r="EZ266" s="5">
        <v>0.262806743532006</v>
      </c>
      <c r="FA266" s="5">
        <v>-7.59765449291772E-2</v>
      </c>
      <c r="FB266" s="5">
        <v>-1.6831727110083799E-3</v>
      </c>
      <c r="FC266" s="5">
        <v>0.11176700898455599</v>
      </c>
      <c r="FD266" s="5">
        <v>0.28339527506356699</v>
      </c>
      <c r="FE266" s="5">
        <v>-0.17426136660557001</v>
      </c>
      <c r="FF266" s="5">
        <v>2.6833947228569102E-2</v>
      </c>
      <c r="FG266" s="5">
        <v>3.5182203237574698E-2</v>
      </c>
      <c r="FH266" s="5">
        <v>0.39169932094813797</v>
      </c>
      <c r="FI266" s="5">
        <v>-0.218921781700854</v>
      </c>
      <c r="FJ266" s="5">
        <v>0.34347760267039901</v>
      </c>
      <c r="FK266" s="5">
        <v>-6.0252179769751397E-2</v>
      </c>
      <c r="FL266" s="5">
        <v>-4.1253999936872898E-2</v>
      </c>
      <c r="FM266" s="5">
        <v>3.22847015526335E-2</v>
      </c>
      <c r="FN266" s="5">
        <v>7.2223541784503506E-2</v>
      </c>
      <c r="FO266" s="5">
        <v>0.23129677541084701</v>
      </c>
      <c r="FP266" s="5">
        <v>0.209909127549332</v>
      </c>
      <c r="FQ266" s="5">
        <v>5.9315266634349502E-2</v>
      </c>
      <c r="FR266" s="5">
        <v>-0.31681812441481</v>
      </c>
      <c r="FS266" s="5">
        <v>0.23009065748197699</v>
      </c>
      <c r="FT266" s="5">
        <v>0.30211324316901</v>
      </c>
      <c r="FU266" s="5">
        <v>-7.3375693864023303E-2</v>
      </c>
      <c r="FV266" s="5">
        <v>1.5636850572616001E-2</v>
      </c>
      <c r="FW266" s="5">
        <v>0.197340722538588</v>
      </c>
      <c r="FX266" s="5">
        <v>0.246017392471025</v>
      </c>
      <c r="FY266" s="5">
        <v>-0.105879305093125</v>
      </c>
      <c r="FZ266" s="5">
        <v>0.32792099654620499</v>
      </c>
      <c r="GA266" s="5">
        <v>-8.86635956088003E-2</v>
      </c>
      <c r="GB266" s="5">
        <v>5.3223165108404601E-2</v>
      </c>
      <c r="GC266" s="5">
        <v>6.6177876380588502E-2</v>
      </c>
      <c r="GD266" s="5">
        <v>9.6547350391210401E-2</v>
      </c>
      <c r="GE266" s="5">
        <v>-0.13239136486226599</v>
      </c>
      <c r="GF266" s="5">
        <v>0.20708520900192701</v>
      </c>
      <c r="GG266" s="5">
        <v>1.14983260865305E-3</v>
      </c>
      <c r="GH266" s="5">
        <v>-0.245623915068448</v>
      </c>
      <c r="GI266" s="5">
        <v>0.185481695633919</v>
      </c>
      <c r="GJ266" s="5">
        <v>0.35346337126037602</v>
      </c>
      <c r="GK266" s="5">
        <v>-0.19638115630512801</v>
      </c>
      <c r="GL266" s="5">
        <v>0.393346246900799</v>
      </c>
      <c r="GM266" s="5">
        <v>-0.30495230379456301</v>
      </c>
      <c r="GN266" s="5">
        <v>1.8068286974826299E-2</v>
      </c>
      <c r="GO266" s="5">
        <v>0.13890946760766701</v>
      </c>
      <c r="GP266" s="5">
        <v>0.22300218140040801</v>
      </c>
      <c r="GQ266" s="5">
        <v>1.75668191650219E-2</v>
      </c>
      <c r="GR266" s="5">
        <v>0.48205269151159802</v>
      </c>
      <c r="GS266" s="5">
        <v>-0.365568201857012</v>
      </c>
      <c r="GT266" s="5">
        <v>0.182830153887556</v>
      </c>
      <c r="GU266" s="5">
        <v>3.3364638000131702E-2</v>
      </c>
      <c r="GV266" s="5">
        <v>0.39175531304014299</v>
      </c>
      <c r="GW266" s="5">
        <v>-0.26849507924834898</v>
      </c>
      <c r="GX266" s="5">
        <v>0.36324373858217301</v>
      </c>
      <c r="GY266" s="5">
        <v>-0.17355840369061301</v>
      </c>
      <c r="GZ266" s="5">
        <v>0.12322396981655501</v>
      </c>
      <c r="HA266" s="5">
        <v>-0.22692983119349</v>
      </c>
      <c r="HB266" s="5">
        <v>0.35319172260870402</v>
      </c>
      <c r="HC266" s="5">
        <v>-0.23089585275594299</v>
      </c>
      <c r="HD266" s="5">
        <v>3.4752440993663598E-2</v>
      </c>
      <c r="HE266" s="5">
        <v>0.15161251461770001</v>
      </c>
      <c r="HF266" s="5">
        <v>6.4782313630303304E-2</v>
      </c>
      <c r="HG266" s="5">
        <v>-0.143348519780122</v>
      </c>
      <c r="HH266" s="5">
        <v>5.3880427557540703E-2</v>
      </c>
      <c r="HI266" s="5">
        <v>-7.90685474041877E-2</v>
      </c>
      <c r="HJ266" s="5">
        <v>4.7880972674144297E-2</v>
      </c>
      <c r="HK266" s="5">
        <v>-0.12893687332356099</v>
      </c>
      <c r="HL266" s="5">
        <v>9.7149132594836402E-2</v>
      </c>
      <c r="HM266" s="5">
        <v>0.12990746322743699</v>
      </c>
      <c r="HN266" s="5">
        <v>4.1826844727868497E-2</v>
      </c>
      <c r="HO266" s="5">
        <v>-1.53679006997348E-2</v>
      </c>
      <c r="HP266" s="5">
        <v>0.187361649251294</v>
      </c>
      <c r="HQ266" s="5">
        <v>3.5320582830684497E-2</v>
      </c>
      <c r="HR266" s="5">
        <v>0.38682391632885399</v>
      </c>
      <c r="HS266" s="5">
        <v>-0.25743131916031198</v>
      </c>
      <c r="HT266" s="5">
        <v>-1.00808839377599E-2</v>
      </c>
      <c r="HU266" s="5">
        <v>0.104387705989926</v>
      </c>
      <c r="HV266" s="5">
        <v>0.29675647976258701</v>
      </c>
      <c r="HW266" s="5">
        <v>-9.2007815328932402E-2</v>
      </c>
      <c r="HX266" s="5">
        <v>0.52148140329374904</v>
      </c>
      <c r="HY266" s="5">
        <v>-0.33256654638994398</v>
      </c>
      <c r="HZ266" s="5">
        <v>8.8536264837937202E-3</v>
      </c>
      <c r="IA266" s="5">
        <v>-3.09161507400189E-2</v>
      </c>
      <c r="IB266" s="5">
        <v>-9.1616680540589995E-2</v>
      </c>
      <c r="IC266" s="5">
        <v>3.02997805925782E-2</v>
      </c>
      <c r="ID266" s="5">
        <v>0.29214258671443599</v>
      </c>
      <c r="IE266" s="5">
        <v>-7.8057752978951497E-2</v>
      </c>
      <c r="IF266" s="5">
        <v>0.208923676155198</v>
      </c>
      <c r="IG266" s="5">
        <v>4.0498744467132503E-2</v>
      </c>
      <c r="IH266" s="5">
        <v>0.34318988949101598</v>
      </c>
      <c r="II266" s="5">
        <v>-0.26837629558798998</v>
      </c>
      <c r="IJ266" s="5">
        <v>0.25494206677820702</v>
      </c>
      <c r="IK266" s="5">
        <v>-0.13232040703185</v>
      </c>
      <c r="IL266" s="5">
        <v>0.21023205785525201</v>
      </c>
      <c r="IM266" s="5">
        <v>2.5883387248214401E-2</v>
      </c>
      <c r="IN266" s="5">
        <v>0.37205694873755701</v>
      </c>
      <c r="IO266" s="5">
        <v>-0.13661060055336499</v>
      </c>
      <c r="IP266" s="5">
        <v>0.51016957998342005</v>
      </c>
      <c r="IQ266" s="5">
        <v>-0.31753575664622102</v>
      </c>
      <c r="IR266" s="5">
        <v>-0.217540221166453</v>
      </c>
      <c r="IS266" s="5">
        <v>0.40610122977305302</v>
      </c>
      <c r="IT266" s="5">
        <v>0.35507675706638903</v>
      </c>
      <c r="IU266" s="5">
        <v>-0.167459487188998</v>
      </c>
      <c r="IV266" s="5">
        <v>0.27432787053331298</v>
      </c>
      <c r="IW266" s="5">
        <v>-9.9401342455043104E-2</v>
      </c>
      <c r="IX266" s="5">
        <v>0.337482914241858</v>
      </c>
      <c r="IY266" s="5">
        <v>-0.18327829947875501</v>
      </c>
      <c r="IZ266" s="5">
        <v>8.4796615966576394E-2</v>
      </c>
      <c r="JA266" s="5">
        <v>-0.111596418041973</v>
      </c>
      <c r="JB266" s="5">
        <v>-4.0555302961121998E-3</v>
      </c>
      <c r="JC266" s="5">
        <v>-0.14779985140802299</v>
      </c>
      <c r="JD266" s="5">
        <v>1.3415414934148299E-2</v>
      </c>
      <c r="JE266" s="5">
        <v>0.28474547915084197</v>
      </c>
      <c r="JF266" s="5">
        <v>1</v>
      </c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</row>
    <row r="267" spans="1:389" x14ac:dyDescent="0.45">
      <c r="A267" s="4" t="str">
        <f ca="1">"NRU / beta2dist in "&amp;CELL("address",'damages-1990'!$K$134)</f>
        <v>NRU / beta2dist in '[BHM betas v3pd.xlsx]damages-1990'!$K$134</v>
      </c>
      <c r="B267" s="6">
        <v>8.66308528681035E-2</v>
      </c>
      <c r="C267" s="5">
        <v>-0.18333522572504601</v>
      </c>
      <c r="D267" s="5">
        <v>-0.37536950007428899</v>
      </c>
      <c r="E267" s="5">
        <v>0.42114515617464099</v>
      </c>
      <c r="F267" s="5">
        <v>6.2927013316359595E-2</v>
      </c>
      <c r="G267" s="5">
        <v>-0.11068831616345801</v>
      </c>
      <c r="H267" s="5">
        <v>-9.3572204969029696E-2</v>
      </c>
      <c r="I267" s="5">
        <v>0.16454980270719499</v>
      </c>
      <c r="J267" s="5">
        <v>5.76719367620633E-3</v>
      </c>
      <c r="K267" s="5">
        <v>-5.6787847677514901E-2</v>
      </c>
      <c r="L267" s="5">
        <v>-7.1575070723090398E-2</v>
      </c>
      <c r="M267" s="5">
        <v>-2.0644682989271801E-2</v>
      </c>
      <c r="N267" s="5">
        <v>-3.7573090205682502E-2</v>
      </c>
      <c r="O267" s="5">
        <v>6.9122613358394702E-2</v>
      </c>
      <c r="P267" s="5">
        <v>-0.29695808098828103</v>
      </c>
      <c r="Q267" s="5">
        <v>0.38838624445566899</v>
      </c>
      <c r="R267" s="5">
        <v>-0.2813066908438</v>
      </c>
      <c r="S267" s="5">
        <v>0.374782083706372</v>
      </c>
      <c r="T267" s="5">
        <v>-0.15116715507737499</v>
      </c>
      <c r="U267" s="5">
        <v>0.21676779692391099</v>
      </c>
      <c r="V267" s="5">
        <v>-3.74053908009664E-3</v>
      </c>
      <c r="W267" s="5">
        <v>-4.6611318959629902E-2</v>
      </c>
      <c r="X267" s="5">
        <v>-0.390039228256917</v>
      </c>
      <c r="Y267" s="5">
        <v>0.39970238850504802</v>
      </c>
      <c r="Z267" s="5">
        <v>-7.8651648452846196E-2</v>
      </c>
      <c r="AA267" s="5">
        <v>0.137684336821699</v>
      </c>
      <c r="AB267" s="5">
        <v>-0.362964306205729</v>
      </c>
      <c r="AC267" s="5">
        <v>0.42022206096384401</v>
      </c>
      <c r="AD267" s="5">
        <v>-0.23505128618336199</v>
      </c>
      <c r="AE267" s="5">
        <v>0.27583136300723499</v>
      </c>
      <c r="AF267" s="5">
        <v>-0.32864657402346498</v>
      </c>
      <c r="AG267" s="5">
        <v>0.35621104352795002</v>
      </c>
      <c r="AH267" s="5">
        <v>3.3579414508861698E-2</v>
      </c>
      <c r="AI267" s="5">
        <v>-4.7106401659240099E-2</v>
      </c>
      <c r="AJ267" s="5">
        <v>2.6335322662844E-2</v>
      </c>
      <c r="AK267" s="5">
        <v>-6.5739993478877101E-2</v>
      </c>
      <c r="AL267" s="5">
        <v>4.35824348275742E-2</v>
      </c>
      <c r="AM267" s="5">
        <v>-0.112852112225719</v>
      </c>
      <c r="AN267" s="5">
        <v>-3.8735014721542498E-2</v>
      </c>
      <c r="AO267" s="5">
        <v>7.8173074148890007E-2</v>
      </c>
      <c r="AP267" s="5">
        <v>-0.18042598343798699</v>
      </c>
      <c r="AQ267" s="5">
        <v>0.26649394454443098</v>
      </c>
      <c r="AR267" s="5">
        <v>-0.14307921161452899</v>
      </c>
      <c r="AS267" s="5">
        <v>0.18015337799341</v>
      </c>
      <c r="AT267" s="5">
        <v>0.186846565249495</v>
      </c>
      <c r="AU267" s="5">
        <v>-0.32716559351164698</v>
      </c>
      <c r="AV267" s="5">
        <v>-0.371617625818987</v>
      </c>
      <c r="AW267" s="5">
        <v>0.54044258699987302</v>
      </c>
      <c r="AX267" s="5">
        <v>-0.35771933221642899</v>
      </c>
      <c r="AY267" s="5">
        <v>0.48575547421843601</v>
      </c>
      <c r="AZ267" s="5">
        <v>-0.334015371141962</v>
      </c>
      <c r="BA267" s="5">
        <v>0.41655521839035797</v>
      </c>
      <c r="BB267" s="5">
        <v>-0.150056550549724</v>
      </c>
      <c r="BC267" s="5">
        <v>0.17190908709713901</v>
      </c>
      <c r="BD267" s="5">
        <v>7.7814256290740999E-2</v>
      </c>
      <c r="BE267" s="5">
        <v>-0.14938923335941801</v>
      </c>
      <c r="BF267" s="5">
        <v>-0.302885383939824</v>
      </c>
      <c r="BG267" s="5">
        <v>0.34362976968249898</v>
      </c>
      <c r="BH267" s="5">
        <v>-0.32183215372931601</v>
      </c>
      <c r="BI267" s="5">
        <v>0.41231351808143002</v>
      </c>
      <c r="BJ267" s="5">
        <v>8.3924908581216706E-2</v>
      </c>
      <c r="BK267" s="5">
        <v>-0.10502766533637301</v>
      </c>
      <c r="BL267" s="5">
        <v>-0.171193819173696</v>
      </c>
      <c r="BM267" s="5">
        <v>0.25762298337702899</v>
      </c>
      <c r="BN267" s="5">
        <v>0.101314030123349</v>
      </c>
      <c r="BO267" s="5">
        <v>-0.125540618650892</v>
      </c>
      <c r="BP267" s="5">
        <v>0.14734087637485199</v>
      </c>
      <c r="BQ267" s="5">
        <v>-0.257893993934798</v>
      </c>
      <c r="BR267" s="5">
        <v>-0.314645708580646</v>
      </c>
      <c r="BS267" s="5">
        <v>0.35170222809673501</v>
      </c>
      <c r="BT267" s="5">
        <v>-0.29376037877230798</v>
      </c>
      <c r="BU267" s="5">
        <v>0.39373101704603403</v>
      </c>
      <c r="BV267" s="5">
        <v>-0.30105220270229999</v>
      </c>
      <c r="BW267" s="5">
        <v>0.34866874781473201</v>
      </c>
      <c r="BX267" s="5">
        <v>-0.37119643275181002</v>
      </c>
      <c r="BY267" s="5">
        <v>0.46071201404650602</v>
      </c>
      <c r="BZ267" s="5">
        <v>-0.45206296349993003</v>
      </c>
      <c r="CA267" s="5">
        <v>0.51417903803323295</v>
      </c>
      <c r="CB267" s="5">
        <v>-0.35634112469630902</v>
      </c>
      <c r="CC267" s="5">
        <v>0.46358462847854198</v>
      </c>
      <c r="CD267" s="5">
        <v>0.105554968048856</v>
      </c>
      <c r="CE267" s="5">
        <v>-5.7176148928356998E-2</v>
      </c>
      <c r="CF267" s="5">
        <v>-0.367364333165767</v>
      </c>
      <c r="CG267" s="5">
        <v>0.39734606538650302</v>
      </c>
      <c r="CH267" s="5">
        <v>4.3526441769648497E-2</v>
      </c>
      <c r="CI267" s="5">
        <v>-8.8683420763826307E-2</v>
      </c>
      <c r="CJ267" s="5">
        <v>3.8547893699765197E-2</v>
      </c>
      <c r="CK267" s="5">
        <v>-9.2698767149424099E-2</v>
      </c>
      <c r="CL267" s="5">
        <v>-0.128403037486678</v>
      </c>
      <c r="CM267" s="5">
        <v>0.190251700358295</v>
      </c>
      <c r="CN267" s="5">
        <v>-0.113155697953854</v>
      </c>
      <c r="CO267" s="5">
        <v>0.17791221885101499</v>
      </c>
      <c r="CP267" s="5">
        <v>-0.25885387747446198</v>
      </c>
      <c r="CQ267" s="5">
        <v>0.27543364858811098</v>
      </c>
      <c r="CR267" s="5">
        <v>-0.33380293673127098</v>
      </c>
      <c r="CS267" s="5">
        <v>0.43501560056779298</v>
      </c>
      <c r="CT267" s="5">
        <v>-0.15357420395746299</v>
      </c>
      <c r="CU267" s="5">
        <v>0.229542534840004</v>
      </c>
      <c r="CV267" s="5">
        <v>-0.31881203417627302</v>
      </c>
      <c r="CW267" s="5">
        <v>0.42330390590999201</v>
      </c>
      <c r="CX267" s="5">
        <v>-0.23903722174690201</v>
      </c>
      <c r="CY267" s="5">
        <v>0.25484810096132299</v>
      </c>
      <c r="CZ267" s="5">
        <v>-0.49205961296759998</v>
      </c>
      <c r="DA267" s="5">
        <v>0.54479028686185105</v>
      </c>
      <c r="DB267" s="5">
        <v>-0.22210775000334801</v>
      </c>
      <c r="DC267" s="5">
        <v>0.21846720077831799</v>
      </c>
      <c r="DD267" s="5">
        <v>-0.23885233126840899</v>
      </c>
      <c r="DE267" s="5">
        <v>0.28695581761880701</v>
      </c>
      <c r="DF267" s="5">
        <v>3.0386298571296499E-2</v>
      </c>
      <c r="DG267" s="5">
        <v>-3.5959049845920701E-2</v>
      </c>
      <c r="DH267" s="5">
        <v>1.5175579809061099E-2</v>
      </c>
      <c r="DI267" s="5">
        <v>-5.0775312581915102E-2</v>
      </c>
      <c r="DJ267" s="5">
        <v>-0.14564990590712501</v>
      </c>
      <c r="DK267" s="5">
        <v>0.22782268660664701</v>
      </c>
      <c r="DL267" s="5">
        <v>-0.188467914148126</v>
      </c>
      <c r="DM267" s="5">
        <v>0.239450346897604</v>
      </c>
      <c r="DN267" s="5">
        <v>-9.4206961570823797E-2</v>
      </c>
      <c r="DO267" s="5">
        <v>0.190454469746763</v>
      </c>
      <c r="DP267" s="5">
        <v>7.7838347437816896E-2</v>
      </c>
      <c r="DQ267" s="5">
        <v>-0.14962407447783799</v>
      </c>
      <c r="DR267" s="5">
        <v>-4.2946139546345401E-2</v>
      </c>
      <c r="DS267" s="5">
        <v>6.7252920234540006E-2</v>
      </c>
      <c r="DT267" s="5">
        <v>-0.32569776575731901</v>
      </c>
      <c r="DU267" s="5">
        <v>0.31985189532806702</v>
      </c>
      <c r="DV267" s="5">
        <v>-0.36166952103170003</v>
      </c>
      <c r="DW267" s="5">
        <v>0.43918121757995698</v>
      </c>
      <c r="DX267" s="5">
        <v>-7.0769540312968601E-2</v>
      </c>
      <c r="DY267" s="5">
        <v>0.141680496700201</v>
      </c>
      <c r="DZ267" s="5">
        <v>-4.54072912730379E-2</v>
      </c>
      <c r="EA267" s="5">
        <v>0.10992791321351</v>
      </c>
      <c r="EB267" s="5">
        <v>-0.31862485630940901</v>
      </c>
      <c r="EC267" s="5">
        <v>0.36853736826837602</v>
      </c>
      <c r="ED267" s="5">
        <v>-0.35107451726804301</v>
      </c>
      <c r="EE267" s="5">
        <v>0.38743322473946701</v>
      </c>
      <c r="EF267" s="5">
        <v>-0.32540906882102399</v>
      </c>
      <c r="EG267" s="5">
        <v>0.412927742659773</v>
      </c>
      <c r="EH267" s="5">
        <v>-0.135901102387052</v>
      </c>
      <c r="EI267" s="5">
        <v>0.17777988961229499</v>
      </c>
      <c r="EJ267" s="5">
        <v>-0.15753079665428099</v>
      </c>
      <c r="EK267" s="5">
        <v>0.22002289211202</v>
      </c>
      <c r="EL267" s="5">
        <v>-0.3686546196978</v>
      </c>
      <c r="EM267" s="5">
        <v>0.45135742633403603</v>
      </c>
      <c r="EN267" s="5">
        <v>0.102748814692789</v>
      </c>
      <c r="EO267" s="5">
        <v>-0.17921046160948301</v>
      </c>
      <c r="EP267" s="5">
        <v>-0.38884978493483002</v>
      </c>
      <c r="EQ267" s="5">
        <v>0.48983956462564099</v>
      </c>
      <c r="ER267" s="5">
        <v>-0.15778860074680801</v>
      </c>
      <c r="ES267" s="5">
        <v>0.203965173956313</v>
      </c>
      <c r="ET267" s="5">
        <v>-0.24848529613217399</v>
      </c>
      <c r="EU267" s="5">
        <v>0.37123634667693101</v>
      </c>
      <c r="EV267" s="5">
        <v>-0.33145364096596602</v>
      </c>
      <c r="EW267" s="5">
        <v>0.45233972696889102</v>
      </c>
      <c r="EX267" s="5">
        <v>-0.28773403646609103</v>
      </c>
      <c r="EY267" s="5">
        <v>0.45866379858426998</v>
      </c>
      <c r="EZ267" s="5">
        <v>-0.14803087529216699</v>
      </c>
      <c r="FA267" s="5">
        <v>0.199526286127996</v>
      </c>
      <c r="FB267" s="5">
        <v>2.1149260176241899E-2</v>
      </c>
      <c r="FC267" s="5">
        <v>-2.8115931489522399E-2</v>
      </c>
      <c r="FD267" s="5">
        <v>-0.18748508468903899</v>
      </c>
      <c r="FE267" s="5">
        <v>0.27511752437495801</v>
      </c>
      <c r="FF267" s="5">
        <v>-1.82689784557598E-2</v>
      </c>
      <c r="FG267" s="5">
        <v>3.6002834800329099E-2</v>
      </c>
      <c r="FH267" s="5">
        <v>-0.17207900313602001</v>
      </c>
      <c r="FI267" s="5">
        <v>0.20563996545836</v>
      </c>
      <c r="FJ267" s="5">
        <v>-0.23847888603049899</v>
      </c>
      <c r="FK267" s="5">
        <v>0.20248029085341801</v>
      </c>
      <c r="FL267" s="5">
        <v>1.7441979040085799E-2</v>
      </c>
      <c r="FM267" s="5">
        <v>1.69367335299281E-2</v>
      </c>
      <c r="FN267" s="5">
        <v>2.6470412539872E-2</v>
      </c>
      <c r="FO267" s="5">
        <v>-0.117706237193528</v>
      </c>
      <c r="FP267" s="5">
        <v>-0.10622682250858501</v>
      </c>
      <c r="FQ267" s="5">
        <v>4.5289521060691701E-2</v>
      </c>
      <c r="FR267" s="5">
        <v>0.35960941164862997</v>
      </c>
      <c r="FS267" s="5">
        <v>-0.28529958296359498</v>
      </c>
      <c r="FT267" s="5">
        <v>-0.21154197662957</v>
      </c>
      <c r="FU267" s="5">
        <v>0.203942824280167</v>
      </c>
      <c r="FV267" s="5">
        <v>4.0446406224796998E-2</v>
      </c>
      <c r="FW267" s="5">
        <v>-0.10014645078288199</v>
      </c>
      <c r="FX267" s="5">
        <v>-0.15369178821725901</v>
      </c>
      <c r="FY267" s="5">
        <v>0.20937520715770999</v>
      </c>
      <c r="FZ267" s="5">
        <v>-0.219102039718436</v>
      </c>
      <c r="GA267" s="5">
        <v>0.217594204101039</v>
      </c>
      <c r="GB267" s="5">
        <v>-4.8730725008785301E-2</v>
      </c>
      <c r="GC267" s="5">
        <v>5.9259695943954298E-2</v>
      </c>
      <c r="GD267" s="5">
        <v>-0.16512338595121501</v>
      </c>
      <c r="GE267" s="5">
        <v>0.205880164081303</v>
      </c>
      <c r="GF267" s="5">
        <v>-5.77138699867445E-2</v>
      </c>
      <c r="GG267" s="5">
        <v>0.111213641264193</v>
      </c>
      <c r="GH267" s="5">
        <v>0.245752072992106</v>
      </c>
      <c r="GI267" s="5">
        <v>-0.29225333263964598</v>
      </c>
      <c r="GJ267" s="5">
        <v>-0.22046390277682601</v>
      </c>
      <c r="GK267" s="5">
        <v>0.27619771090013301</v>
      </c>
      <c r="GL267" s="5">
        <v>-0.39846834265889802</v>
      </c>
      <c r="GM267" s="5">
        <v>0.46271439112125601</v>
      </c>
      <c r="GN267" s="5">
        <v>7.9973560107291005E-3</v>
      </c>
      <c r="GO267" s="5">
        <v>-1.6310713697113701E-2</v>
      </c>
      <c r="GP267" s="5">
        <v>-0.12578944563156</v>
      </c>
      <c r="GQ267" s="5">
        <v>0.108156350668215</v>
      </c>
      <c r="GR267" s="5">
        <v>-0.37179838384283698</v>
      </c>
      <c r="GS267" s="5">
        <v>0.48012808810233298</v>
      </c>
      <c r="GT267" s="5">
        <v>-0.11222922224019299</v>
      </c>
      <c r="GU267" s="5">
        <v>7.2991472251589196E-2</v>
      </c>
      <c r="GV267" s="5">
        <v>-0.292484843707632</v>
      </c>
      <c r="GW267" s="5">
        <v>0.39321261302948501</v>
      </c>
      <c r="GX267" s="5">
        <v>-0.25749739180044001</v>
      </c>
      <c r="GY267" s="5">
        <v>0.27877920698548903</v>
      </c>
      <c r="GZ267" s="5">
        <v>-0.184191858099749</v>
      </c>
      <c r="HA267" s="5">
        <v>0.26494573015884298</v>
      </c>
      <c r="HB267" s="5">
        <v>-0.19513234670423099</v>
      </c>
      <c r="HC267" s="5">
        <v>0.30196222618787399</v>
      </c>
      <c r="HD267" s="5">
        <v>-1.9479717664448701E-2</v>
      </c>
      <c r="HE267" s="5">
        <v>2.47931774595796E-2</v>
      </c>
      <c r="HF267" s="5">
        <v>-0.17839924415584499</v>
      </c>
      <c r="HG267" s="5">
        <v>0.26086779957531903</v>
      </c>
      <c r="HH267" s="5">
        <v>-8.0486669535304395E-2</v>
      </c>
      <c r="HI267" s="5">
        <v>0.13883079303183599</v>
      </c>
      <c r="HJ267" s="5">
        <v>-0.17214458196025501</v>
      </c>
      <c r="HK267" s="5">
        <v>0.25005169623159401</v>
      </c>
      <c r="HL267" s="5">
        <v>-1.9657317946505101E-2</v>
      </c>
      <c r="HM267" s="5">
        <v>2.0719204113642E-2</v>
      </c>
      <c r="HN267" s="5">
        <v>-5.1502497319776901E-2</v>
      </c>
      <c r="HO267" s="5">
        <v>0.102294595976418</v>
      </c>
      <c r="HP267" s="5">
        <v>4.8884401571328701E-3</v>
      </c>
      <c r="HQ267" s="5">
        <v>3.3536283792732602E-2</v>
      </c>
      <c r="HR267" s="5">
        <v>-0.21474566176242901</v>
      </c>
      <c r="HS267" s="5">
        <v>0.32736328005305498</v>
      </c>
      <c r="HT267" s="5">
        <v>2.38389537002077E-2</v>
      </c>
      <c r="HU267" s="5">
        <v>-3.1261948725803602E-2</v>
      </c>
      <c r="HV267" s="5">
        <v>-0.23356394571002601</v>
      </c>
      <c r="HW267" s="5">
        <v>0.277118109093686</v>
      </c>
      <c r="HX267" s="5">
        <v>-0.40064353071047598</v>
      </c>
      <c r="HY267" s="5">
        <v>0.477890982918804</v>
      </c>
      <c r="HZ267" s="5">
        <v>-3.93414678031088E-2</v>
      </c>
      <c r="IA267" s="5">
        <v>9.1051749146994904E-2</v>
      </c>
      <c r="IB267" s="5">
        <v>5.9890895036804101E-2</v>
      </c>
      <c r="IC267" s="5">
        <v>-4.8268659837343901E-2</v>
      </c>
      <c r="ID267" s="5">
        <v>-0.11201279605358801</v>
      </c>
      <c r="IE267" s="5">
        <v>0.15200385138519201</v>
      </c>
      <c r="IF267" s="5">
        <v>-0.111779323011749</v>
      </c>
      <c r="IG267" s="5">
        <v>0.118487866330413</v>
      </c>
      <c r="IH267" s="5">
        <v>-0.32029758826997201</v>
      </c>
      <c r="II267" s="5">
        <v>0.42524633811235102</v>
      </c>
      <c r="IJ267" s="5">
        <v>-0.233163059175787</v>
      </c>
      <c r="IK267" s="5">
        <v>0.22193050915590801</v>
      </c>
      <c r="IL267" s="5">
        <v>-3.2509422904176202E-2</v>
      </c>
      <c r="IM267" s="5">
        <v>4.0276707905485702E-2</v>
      </c>
      <c r="IN267" s="5">
        <v>-0.19455534979872399</v>
      </c>
      <c r="IO267" s="5">
        <v>0.20628290108223099</v>
      </c>
      <c r="IP267" s="5">
        <v>-0.41496258765699101</v>
      </c>
      <c r="IQ267" s="5">
        <v>0.46255595323647303</v>
      </c>
      <c r="IR267" s="5">
        <v>0.34338813777768601</v>
      </c>
      <c r="IS267" s="5">
        <v>-0.41923342509431899</v>
      </c>
      <c r="IT267" s="5">
        <v>-0.27217274117539902</v>
      </c>
      <c r="IU267" s="5">
        <v>0.33232041177566102</v>
      </c>
      <c r="IV267" s="5">
        <v>-0.20492919033908499</v>
      </c>
      <c r="IW267" s="5">
        <v>0.26517548935677199</v>
      </c>
      <c r="IX267" s="5">
        <v>-0.24662629200727501</v>
      </c>
      <c r="IY267" s="5">
        <v>0.31919750715150103</v>
      </c>
      <c r="IZ267" s="5">
        <v>-0.115451638710358</v>
      </c>
      <c r="JA267" s="5">
        <v>0.17920704717928701</v>
      </c>
      <c r="JB267" s="5">
        <v>-0.149749219571953</v>
      </c>
      <c r="JC267" s="5">
        <v>0.26922982148080699</v>
      </c>
      <c r="JD267" s="5">
        <v>5.2307923702831202E-2</v>
      </c>
      <c r="JE267" s="5">
        <v>-0.12918711854152501</v>
      </c>
      <c r="JF267" s="5">
        <v>-0.87881796804234902</v>
      </c>
      <c r="JG267" s="5">
        <v>1</v>
      </c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</row>
    <row r="268" spans="1:389" x14ac:dyDescent="0.45">
      <c r="A268" s="4" t="str">
        <f ca="1">"NZL / beta1dist in "&amp;CELL("address",'damages-1990'!$J$135)</f>
        <v>NZL / beta1dist in '[BHM betas v3pd.xlsx]damages-1990'!$J$135</v>
      </c>
      <c r="B268" s="6">
        <v>0.454748879962727</v>
      </c>
      <c r="C268" s="5">
        <v>-0.1299017988783</v>
      </c>
      <c r="D268" s="5">
        <v>0.29322618540172601</v>
      </c>
      <c r="E268" s="5">
        <v>-0.24647725112421201</v>
      </c>
      <c r="F268" s="5">
        <v>0.55947881731505</v>
      </c>
      <c r="G268" s="5">
        <v>-0.27534854735130398</v>
      </c>
      <c r="H268" s="5">
        <v>0.26045112287848199</v>
      </c>
      <c r="I268" s="5">
        <v>-6.9658854894812001E-3</v>
      </c>
      <c r="J268" s="5">
        <v>0.106342044708911</v>
      </c>
      <c r="K268" s="5">
        <v>-9.0101585825096503E-2</v>
      </c>
      <c r="L268" s="5">
        <v>0.40010982222651598</v>
      </c>
      <c r="M268" s="5">
        <v>-0.169554100522021</v>
      </c>
      <c r="N268" s="5">
        <v>0.47449457159175101</v>
      </c>
      <c r="O268" s="5">
        <v>-0.153778917747458</v>
      </c>
      <c r="P268" s="5">
        <v>9.3692204002171806E-2</v>
      </c>
      <c r="Q268" s="5">
        <v>-6.4419750708139004E-2</v>
      </c>
      <c r="R268" s="5">
        <v>0.178457005802655</v>
      </c>
      <c r="S268" s="5">
        <v>-9.1571612368835001E-2</v>
      </c>
      <c r="T268" s="5">
        <v>0.29049918173193601</v>
      </c>
      <c r="U268" s="5">
        <v>-5.5040815218971501E-2</v>
      </c>
      <c r="V268" s="5">
        <v>0.50221398040474097</v>
      </c>
      <c r="W268" s="5">
        <v>-0.19109124147967299</v>
      </c>
      <c r="X268" s="5">
        <v>0.300209614022584</v>
      </c>
      <c r="Y268" s="5">
        <v>-0.23710340157204099</v>
      </c>
      <c r="Z268" s="5">
        <v>0.35410861553794398</v>
      </c>
      <c r="AA268" s="5">
        <v>-4.1337120931693103E-2</v>
      </c>
      <c r="AB268" s="5">
        <v>8.2726972253752598E-2</v>
      </c>
      <c r="AC268" s="5">
        <v>-8.7141484728695498E-2</v>
      </c>
      <c r="AD268" s="5">
        <v>0.10178695949619</v>
      </c>
      <c r="AE268" s="5">
        <v>-7.8746889497107203E-2</v>
      </c>
      <c r="AF268" s="5">
        <v>0.10758521656554899</v>
      </c>
      <c r="AG268" s="5">
        <v>-8.3035818717725696E-2</v>
      </c>
      <c r="AH268" s="5">
        <v>0.56348266463068897</v>
      </c>
      <c r="AI268" s="5">
        <v>-0.268930408830241</v>
      </c>
      <c r="AJ268" s="5">
        <v>0.153055000870258</v>
      </c>
      <c r="AK268" s="5">
        <v>-0.131811096468891</v>
      </c>
      <c r="AL268" s="5">
        <v>0.143981972001441</v>
      </c>
      <c r="AM268" s="5">
        <v>-0.14626592863815699</v>
      </c>
      <c r="AN268" s="5">
        <v>0.520891752584136</v>
      </c>
      <c r="AO268" s="5">
        <v>-0.21656487403692701</v>
      </c>
      <c r="AP268" s="5">
        <v>0.30179059347859999</v>
      </c>
      <c r="AQ268" s="5">
        <v>-6.4520831031613296E-2</v>
      </c>
      <c r="AR268" s="5">
        <v>9.7700179785513305E-2</v>
      </c>
      <c r="AS268" s="5">
        <v>-7.1873637790381306E-2</v>
      </c>
      <c r="AT268" s="5">
        <v>0.18181749568236899</v>
      </c>
      <c r="AU268" s="5">
        <v>-0.139851762688736</v>
      </c>
      <c r="AV268" s="5">
        <v>0.15188082327868799</v>
      </c>
      <c r="AW268" s="5">
        <v>-9.1864038757074107E-2</v>
      </c>
      <c r="AX268" s="5">
        <v>0.144248712220791</v>
      </c>
      <c r="AY268" s="5">
        <v>-0.17683721481077</v>
      </c>
      <c r="AZ268" s="5">
        <v>6.8080361138873294E-2</v>
      </c>
      <c r="BA268" s="5">
        <v>-5.2016274682414501E-2</v>
      </c>
      <c r="BB268" s="5">
        <v>9.6297351834428502E-2</v>
      </c>
      <c r="BC268" s="5">
        <v>-4.8516323306276199E-2</v>
      </c>
      <c r="BD268" s="5">
        <v>0.47983671686468299</v>
      </c>
      <c r="BE268" s="5">
        <v>-0.122788017974455</v>
      </c>
      <c r="BF268" s="5">
        <v>0.18071116918446301</v>
      </c>
      <c r="BG268" s="5">
        <v>-0.107182120403758</v>
      </c>
      <c r="BH268" s="5">
        <v>0.17426568104751</v>
      </c>
      <c r="BI268" s="5">
        <v>-0.159486522049754</v>
      </c>
      <c r="BJ268" s="5">
        <v>0.286346799127292</v>
      </c>
      <c r="BK268" s="5">
        <v>-5.1976174747921003E-2</v>
      </c>
      <c r="BL268" s="5">
        <v>0.306901466503608</v>
      </c>
      <c r="BM268" s="5">
        <v>-7.4050829140410196E-2</v>
      </c>
      <c r="BN268" s="5">
        <v>0.40700141726143602</v>
      </c>
      <c r="BO268" s="5">
        <v>-1.4416405474698499E-3</v>
      </c>
      <c r="BP268" s="5">
        <v>0.45117908373417898</v>
      </c>
      <c r="BQ268" s="5">
        <v>-5.1362648861175898E-2</v>
      </c>
      <c r="BR268" s="5">
        <v>0.17871410187227901</v>
      </c>
      <c r="BS268" s="5">
        <v>-0.16674285817948301</v>
      </c>
      <c r="BT268" s="5">
        <v>0.164770873214129</v>
      </c>
      <c r="BU268" s="5">
        <v>-0.14654760312160001</v>
      </c>
      <c r="BV268" s="5">
        <v>0.24448106481608201</v>
      </c>
      <c r="BW268" s="5">
        <v>-0.25359177524290699</v>
      </c>
      <c r="BX268" s="5">
        <v>0.16994723477026999</v>
      </c>
      <c r="BY268" s="5">
        <v>-0.19097344994042401</v>
      </c>
      <c r="BZ268" s="5">
        <v>0.18801494869851501</v>
      </c>
      <c r="CA268" s="5">
        <v>-0.202019760471666</v>
      </c>
      <c r="CB268" s="5">
        <v>0.21086224789490901</v>
      </c>
      <c r="CC268" s="5">
        <v>-0.18497961822410799</v>
      </c>
      <c r="CD268" s="5">
        <v>0.13147184219820299</v>
      </c>
      <c r="CE268" s="5">
        <v>-4.4043428556498301E-2</v>
      </c>
      <c r="CF268" s="5">
        <v>0.114275089361714</v>
      </c>
      <c r="CG268" s="5">
        <v>-9.4726609415247506E-2</v>
      </c>
      <c r="CH268" s="5">
        <v>9.4246616854818999E-2</v>
      </c>
      <c r="CI268" s="5">
        <v>-9.9076395110356097E-2</v>
      </c>
      <c r="CJ268" s="5">
        <v>0.17516323205075299</v>
      </c>
      <c r="CK268" s="5">
        <v>-2.8936504611956099E-2</v>
      </c>
      <c r="CL268" s="5">
        <v>0.326676898827919</v>
      </c>
      <c r="CM268" s="5">
        <v>-6.1546475294984498E-2</v>
      </c>
      <c r="CN268" s="5">
        <v>0.35504237584290099</v>
      </c>
      <c r="CO268" s="5">
        <v>-6.1811375042130301E-2</v>
      </c>
      <c r="CP268" s="5">
        <v>0.17419328090264999</v>
      </c>
      <c r="CQ268" s="5">
        <v>-0.16396046872769299</v>
      </c>
      <c r="CR268" s="5">
        <v>0.135535816635137</v>
      </c>
      <c r="CS268" s="5">
        <v>-7.0461301012739702E-2</v>
      </c>
      <c r="CT268" s="5">
        <v>0.284184955957963</v>
      </c>
      <c r="CU268" s="5">
        <v>-7.3621893810291494E-2</v>
      </c>
      <c r="CV268" s="5">
        <v>0.14310681266049399</v>
      </c>
      <c r="CW268" s="5">
        <v>-0.140181146589376</v>
      </c>
      <c r="CX268" s="5">
        <v>0.16189097635203001</v>
      </c>
      <c r="CY268" s="5">
        <v>-9.6749259373468302E-2</v>
      </c>
      <c r="CZ268" s="5">
        <v>0.21118112651104501</v>
      </c>
      <c r="DA268" s="5">
        <v>-0.178508051648538</v>
      </c>
      <c r="DB268" s="5">
        <v>0.14213823815575899</v>
      </c>
      <c r="DC268" s="5">
        <v>-4.3526674353855099E-2</v>
      </c>
      <c r="DD268" s="5">
        <v>0.11309705375059501</v>
      </c>
      <c r="DE268" s="5">
        <v>-9.5268909150713704E-2</v>
      </c>
      <c r="DF268" s="5">
        <v>0.16477508707074301</v>
      </c>
      <c r="DG268" s="5">
        <v>-9.5274621350480607E-2</v>
      </c>
      <c r="DH268" s="5">
        <v>0.43867760115346699</v>
      </c>
      <c r="DI268" s="5">
        <v>-0.15506424233779301</v>
      </c>
      <c r="DJ268" s="5">
        <v>0.27995603913024802</v>
      </c>
      <c r="DK268" s="5">
        <v>-7.0088590849760699E-2</v>
      </c>
      <c r="DL268" s="5">
        <v>0.22464873137392599</v>
      </c>
      <c r="DM268" s="5">
        <v>-0.17137868745128501</v>
      </c>
      <c r="DN268" s="5">
        <v>0.22635390436682701</v>
      </c>
      <c r="DO268" s="5">
        <v>-4.3778886312595203E-3</v>
      </c>
      <c r="DP268" s="5">
        <v>0.112740516030049</v>
      </c>
      <c r="DQ268" s="5">
        <v>-4.5031380303505897E-2</v>
      </c>
      <c r="DR268" s="5">
        <v>0.48400565644794102</v>
      </c>
      <c r="DS268" s="5">
        <v>-0.153784651408512</v>
      </c>
      <c r="DT268" s="5">
        <v>0.21203946977810301</v>
      </c>
      <c r="DU268" s="5">
        <v>-0.21306581051277901</v>
      </c>
      <c r="DV268" s="5">
        <v>0.15325659202963199</v>
      </c>
      <c r="DW268" s="5">
        <v>-0.15650387295346599</v>
      </c>
      <c r="DX268" s="5">
        <v>0.27787832643802002</v>
      </c>
      <c r="DY268" s="5">
        <v>3.8509778350123698E-3</v>
      </c>
      <c r="DZ268" s="5">
        <v>0.48553687649834398</v>
      </c>
      <c r="EA268" s="5">
        <v>-0.16384422986913899</v>
      </c>
      <c r="EB268" s="5">
        <v>0.135992837582388</v>
      </c>
      <c r="EC268" s="5">
        <v>-0.143759106824836</v>
      </c>
      <c r="ED268" s="5">
        <v>0.188105803479897</v>
      </c>
      <c r="EE268" s="5">
        <v>-0.16026091543854501</v>
      </c>
      <c r="EF268" s="5">
        <v>0.12458240351908</v>
      </c>
      <c r="EG268" s="5">
        <v>-7.2481601942331594E-2</v>
      </c>
      <c r="EH268" s="5">
        <v>0.19701293778114801</v>
      </c>
      <c r="EI268" s="5">
        <v>-0.172467393083515</v>
      </c>
      <c r="EJ268" s="5">
        <v>0.236492257197426</v>
      </c>
      <c r="EK268" s="5">
        <v>-0.20592024959150901</v>
      </c>
      <c r="EL268" s="5">
        <v>0.19454643854384099</v>
      </c>
      <c r="EM268" s="5">
        <v>-0.178510192923892</v>
      </c>
      <c r="EN268" s="5">
        <v>0.39490023190928403</v>
      </c>
      <c r="EO268" s="5">
        <v>-0.14945125843954199</v>
      </c>
      <c r="EP268" s="5">
        <v>9.4798702210657601E-2</v>
      </c>
      <c r="EQ268" s="5">
        <v>-8.9282646499469598E-2</v>
      </c>
      <c r="ER268" s="5">
        <v>0.157244521356254</v>
      </c>
      <c r="ES268" s="5">
        <v>-0.132404149675348</v>
      </c>
      <c r="ET268" s="5">
        <v>0.101272451113174</v>
      </c>
      <c r="EU268" s="5">
        <v>-0.143509158046806</v>
      </c>
      <c r="EV268" s="5">
        <v>0.11603448083351001</v>
      </c>
      <c r="EW268" s="5">
        <v>-0.15001803057320801</v>
      </c>
      <c r="EX268" s="5">
        <v>0.100706890098109</v>
      </c>
      <c r="EY268" s="5">
        <v>-9.3060144840777403E-2</v>
      </c>
      <c r="EZ268" s="5">
        <v>0.13768664839264799</v>
      </c>
      <c r="FA268" s="5">
        <v>-0.118172557087906</v>
      </c>
      <c r="FB268" s="5">
        <v>0.54997265846255705</v>
      </c>
      <c r="FC268" s="5">
        <v>-0.25632053600591598</v>
      </c>
      <c r="FD268" s="5">
        <v>0.147131166564653</v>
      </c>
      <c r="FE268" s="5">
        <v>-0.154239830064513</v>
      </c>
      <c r="FF268" s="5">
        <v>0.51020672999666095</v>
      </c>
      <c r="FG268" s="5">
        <v>-0.20798011831201099</v>
      </c>
      <c r="FH268" s="5">
        <v>3.7959619636896702E-2</v>
      </c>
      <c r="FI268" s="5">
        <v>2.3981003256973998E-2</v>
      </c>
      <c r="FJ268" s="5">
        <v>0.17452845870566899</v>
      </c>
      <c r="FK268" s="5">
        <v>-9.1107992815470606E-2</v>
      </c>
      <c r="FL268" s="5">
        <v>0.20467429566359199</v>
      </c>
      <c r="FM268" s="5">
        <v>0.10845500700732399</v>
      </c>
      <c r="FN268" s="5">
        <v>0.30068789381968802</v>
      </c>
      <c r="FO268" s="5">
        <v>-0.109251298281034</v>
      </c>
      <c r="FP268" s="5">
        <v>0.16899861858816401</v>
      </c>
      <c r="FQ268" s="5">
        <v>-7.3675199866583899E-2</v>
      </c>
      <c r="FR268" s="5">
        <v>6.9051036965443E-2</v>
      </c>
      <c r="FS268" s="5">
        <v>0.18593808486003</v>
      </c>
      <c r="FT268" s="5">
        <v>0.26760667538138899</v>
      </c>
      <c r="FU268" s="5">
        <v>-0.135514977741305</v>
      </c>
      <c r="FV268" s="5">
        <v>0.55740412924433902</v>
      </c>
      <c r="FW268" s="5">
        <v>-0.29969411159036902</v>
      </c>
      <c r="FX268" s="5">
        <v>0.209468519725758</v>
      </c>
      <c r="FY268" s="5">
        <v>-0.20518740076155101</v>
      </c>
      <c r="FZ268" s="5">
        <v>0.28822876067112901</v>
      </c>
      <c r="GA268" s="5">
        <v>-0.14264648285814999</v>
      </c>
      <c r="GB268" s="5">
        <v>0.47992463578932398</v>
      </c>
      <c r="GC268" s="5">
        <v>-0.13750262423148599</v>
      </c>
      <c r="GD268" s="5">
        <v>0.345376055065373</v>
      </c>
      <c r="GE268" s="5">
        <v>-7.2852853133577894E-2</v>
      </c>
      <c r="GF268" s="5">
        <v>0.171311266755479</v>
      </c>
      <c r="GG268" s="5">
        <v>-0.155343688522778</v>
      </c>
      <c r="GH268" s="5">
        <v>0.150066053942818</v>
      </c>
      <c r="GI268" s="5">
        <v>0.159097616568359</v>
      </c>
      <c r="GJ268" s="5">
        <v>8.6701901738220996E-2</v>
      </c>
      <c r="GK268" s="5">
        <v>-0.113473426832036</v>
      </c>
      <c r="GL268" s="5">
        <v>0.10491571181001701</v>
      </c>
      <c r="GM268" s="5">
        <v>-6.8587561145965703E-2</v>
      </c>
      <c r="GN268" s="5">
        <v>0.554610692335336</v>
      </c>
      <c r="GO268" s="5">
        <v>-0.27214314272971402</v>
      </c>
      <c r="GP268" s="5">
        <v>0.14312609813032501</v>
      </c>
      <c r="GQ268" s="5">
        <v>-0.101211797446414</v>
      </c>
      <c r="GR268" s="5">
        <v>0.141434209526548</v>
      </c>
      <c r="GS268" s="5">
        <v>-0.14381996157730101</v>
      </c>
      <c r="GT268" s="5">
        <v>0.38487398183011901</v>
      </c>
      <c r="GU268" s="5">
        <v>-0.13038995894106101</v>
      </c>
      <c r="GV268" s="5">
        <v>0.17079969473281301</v>
      </c>
      <c r="GW268" s="5">
        <v>-0.158566676723189</v>
      </c>
      <c r="GX268" s="5">
        <v>0.13476698747847601</v>
      </c>
      <c r="GY268" s="5">
        <v>-7.2557985239660297E-2</v>
      </c>
      <c r="GZ268" s="5">
        <v>0.29171271347431099</v>
      </c>
      <c r="HA268" s="5">
        <v>-6.7906821902602901E-2</v>
      </c>
      <c r="HB268" s="5">
        <v>0.20452954473332599</v>
      </c>
      <c r="HC268" s="5">
        <v>-0.19622413070545699</v>
      </c>
      <c r="HD268" s="5">
        <v>0.42851298904095497</v>
      </c>
      <c r="HE268" s="5">
        <v>-4.8297058547586799E-2</v>
      </c>
      <c r="HF268" s="5">
        <v>0.29112355563645698</v>
      </c>
      <c r="HG268" s="5">
        <v>-6.7327399835781496E-2</v>
      </c>
      <c r="HH268" s="5">
        <v>0.37492729504123701</v>
      </c>
      <c r="HI268" s="5">
        <v>-7.0387815629832207E-2</v>
      </c>
      <c r="HJ268" s="5">
        <v>0.27092236194018898</v>
      </c>
      <c r="HK268" s="5">
        <v>-6.0752389272122703E-2</v>
      </c>
      <c r="HL268" s="5">
        <v>0.32799428625008997</v>
      </c>
      <c r="HM268" s="5">
        <v>-0.15341836823135499</v>
      </c>
      <c r="HN268" s="5">
        <v>0.47070313088306198</v>
      </c>
      <c r="HO268" s="5">
        <v>-0.157090209586596</v>
      </c>
      <c r="HP268" s="5">
        <v>0.24937510346132</v>
      </c>
      <c r="HQ268" s="5">
        <v>-0.210910507748413</v>
      </c>
      <c r="HR268" s="5">
        <v>0.27351773452107803</v>
      </c>
      <c r="HS268" s="5">
        <v>-0.254953318350849</v>
      </c>
      <c r="HT268" s="5">
        <v>0.55349239711383602</v>
      </c>
      <c r="HU268" s="5">
        <v>-0.24758721260667399</v>
      </c>
      <c r="HV268" s="5">
        <v>6.5962796840576599E-2</v>
      </c>
      <c r="HW268" s="5">
        <v>-4.6921259509820401E-2</v>
      </c>
      <c r="HX268" s="5">
        <v>0.19881569345754099</v>
      </c>
      <c r="HY268" s="5">
        <v>-0.177730345512397</v>
      </c>
      <c r="HZ268" s="5">
        <v>0.49034021683689999</v>
      </c>
      <c r="IA268" s="5">
        <v>-0.191715265624643</v>
      </c>
      <c r="IB268" s="5">
        <v>0.160660299470331</v>
      </c>
      <c r="IC268" s="5">
        <v>4.4608180773886501E-2</v>
      </c>
      <c r="ID268" s="5">
        <v>0.15718401064837101</v>
      </c>
      <c r="IE268" s="5">
        <v>-0.113408322720938</v>
      </c>
      <c r="IF268" s="5">
        <v>0.110141978064004</v>
      </c>
      <c r="IG268" s="5">
        <v>-7.8437015581152694E-2</v>
      </c>
      <c r="IH268" s="5">
        <v>0.10342219267864999</v>
      </c>
      <c r="II268" s="5">
        <v>-7.0348524203609097E-2</v>
      </c>
      <c r="IJ268" s="5">
        <v>0.16833357319848599</v>
      </c>
      <c r="IK268" s="5">
        <v>-0.15718925061847999</v>
      </c>
      <c r="IL268" s="5">
        <v>0.16569226885544</v>
      </c>
      <c r="IM268" s="5">
        <v>-0.127767091119836</v>
      </c>
      <c r="IN268" s="5">
        <v>9.1196816810612494E-2</v>
      </c>
      <c r="IO268" s="5">
        <v>-4.1126033446120501E-2</v>
      </c>
      <c r="IP268" s="5">
        <v>0.26900373913473602</v>
      </c>
      <c r="IQ268" s="5">
        <v>-0.153543675318216</v>
      </c>
      <c r="IR268" s="5">
        <v>0.25787386270145901</v>
      </c>
      <c r="IS268" s="5">
        <v>-0.18802606106112199</v>
      </c>
      <c r="IT268" s="5">
        <v>6.6455682254885906E-2</v>
      </c>
      <c r="IU268" s="5">
        <v>-3.5738657895192399E-2</v>
      </c>
      <c r="IV268" s="5">
        <v>0.116263748660682</v>
      </c>
      <c r="IW268" s="5">
        <v>-9.6857173113011605E-2</v>
      </c>
      <c r="IX268" s="5">
        <v>0.13064135448109801</v>
      </c>
      <c r="IY268" s="5">
        <v>-0.13774669770633299</v>
      </c>
      <c r="IZ268" s="5">
        <v>0.31787729072958198</v>
      </c>
      <c r="JA268" s="5">
        <v>-3.69932654426691E-2</v>
      </c>
      <c r="JB268" s="5">
        <v>0.248053883112516</v>
      </c>
      <c r="JC268" s="5">
        <v>-3.57352560280398E-2</v>
      </c>
      <c r="JD268" s="5">
        <v>0.50101128371539405</v>
      </c>
      <c r="JE268" s="5">
        <v>-0.17723520216774999</v>
      </c>
      <c r="JF268" s="5">
        <v>3.9945661607863697E-2</v>
      </c>
      <c r="JG268" s="5">
        <v>-5.1140678447003103E-2</v>
      </c>
      <c r="JH268" s="5">
        <v>1</v>
      </c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</row>
    <row r="269" spans="1:389" x14ac:dyDescent="0.45">
      <c r="A269" s="4" t="str">
        <f ca="1">"NZL / beta2dist in "&amp;CELL("address",'damages-1990'!$K$135)</f>
        <v>NZL / beta2dist in '[BHM betas v3pd.xlsx]damages-1990'!$K$135</v>
      </c>
      <c r="B269" s="6">
        <v>-7.5192845456222096E-2</v>
      </c>
      <c r="C269" s="5">
        <v>1.04230243604332E-2</v>
      </c>
      <c r="D269" s="5">
        <v>-0.198078379951176</v>
      </c>
      <c r="E269" s="5">
        <v>0.30200471427714998</v>
      </c>
      <c r="F269" s="5">
        <v>-0.25086854316516399</v>
      </c>
      <c r="G269" s="5">
        <v>0.22531436604628799</v>
      </c>
      <c r="H269" s="5">
        <v>-5.9683184101199001E-2</v>
      </c>
      <c r="I269" s="5">
        <v>-7.7347988568957193E-2</v>
      </c>
      <c r="J269" s="5">
        <v>-6.1443967089924501E-2</v>
      </c>
      <c r="K269" s="5">
        <v>0.170553705136755</v>
      </c>
      <c r="L269" s="5">
        <v>-0.12264300722549699</v>
      </c>
      <c r="M269" s="5">
        <v>0.14401735698036899</v>
      </c>
      <c r="N269" s="5">
        <v>-0.196372318808445</v>
      </c>
      <c r="O269" s="5">
        <v>7.1086476232953694E-2</v>
      </c>
      <c r="P269" s="5">
        <v>-5.0396729927910902E-2</v>
      </c>
      <c r="Q269" s="5">
        <v>8.9773485021852603E-2</v>
      </c>
      <c r="R269" s="5">
        <v>-9.2676307639925192E-3</v>
      </c>
      <c r="S269" s="5">
        <v>6.7238505678278604E-2</v>
      </c>
      <c r="T269" s="5">
        <v>-0.12466456450595401</v>
      </c>
      <c r="U269" s="5">
        <v>4.0339577693098899E-2</v>
      </c>
      <c r="V269" s="5">
        <v>-0.111536952823013</v>
      </c>
      <c r="W269" s="5">
        <v>3.3070695397429802E-2</v>
      </c>
      <c r="X269" s="5">
        <v>-0.19074784321264501</v>
      </c>
      <c r="Y269" s="5">
        <v>0.30707881322066999</v>
      </c>
      <c r="Z269" s="5">
        <v>-5.6571791207350001E-2</v>
      </c>
      <c r="AA269" s="5">
        <v>-5.7054833703110597E-2</v>
      </c>
      <c r="AB269" s="5">
        <v>-2.45045231798772E-2</v>
      </c>
      <c r="AC269" s="5">
        <v>0.11978125566886499</v>
      </c>
      <c r="AD269" s="5">
        <v>-4.3212432813198698E-2</v>
      </c>
      <c r="AE269" s="5">
        <v>0.119657350401427</v>
      </c>
      <c r="AF269" s="5">
        <v>-3.2465380396682203E-2</v>
      </c>
      <c r="AG269" s="5">
        <v>0.107527783106571</v>
      </c>
      <c r="AH269" s="5">
        <v>-0.28223427919085398</v>
      </c>
      <c r="AI269" s="5">
        <v>0.23851663521771399</v>
      </c>
      <c r="AJ269" s="5">
        <v>-0.13993364812981399</v>
      </c>
      <c r="AK269" s="5">
        <v>0.22621753178954901</v>
      </c>
      <c r="AL269" s="5">
        <v>-0.112449236601914</v>
      </c>
      <c r="AM269" s="5">
        <v>0.19277251214351401</v>
      </c>
      <c r="AN269" s="5">
        <v>-0.29200919678395298</v>
      </c>
      <c r="AO269" s="5">
        <v>0.218162927747203</v>
      </c>
      <c r="AP269" s="5">
        <v>-0.124992296135489</v>
      </c>
      <c r="AQ269" s="5">
        <v>3.6187909024541401E-2</v>
      </c>
      <c r="AR269" s="5">
        <v>-3.2162526061237803E-2</v>
      </c>
      <c r="AS269" s="5">
        <v>9.4799927519099506E-2</v>
      </c>
      <c r="AT269" s="5">
        <v>-0.13649076110845401</v>
      </c>
      <c r="AU269" s="5">
        <v>0.15858141850930399</v>
      </c>
      <c r="AV269" s="5">
        <v>5.3548422652033496E-4</v>
      </c>
      <c r="AW269" s="5">
        <v>6.5010704137469899E-2</v>
      </c>
      <c r="AX269" s="5">
        <v>-6.3040396740910401E-2</v>
      </c>
      <c r="AY269" s="5">
        <v>0.21362409969814999</v>
      </c>
      <c r="AZ269" s="5">
        <v>-3.37702013235524E-2</v>
      </c>
      <c r="BA269" s="5">
        <v>9.1871506118087101E-2</v>
      </c>
      <c r="BB269" s="5">
        <v>9.2027055014937999E-3</v>
      </c>
      <c r="BC269" s="5">
        <v>5.6916311962717701E-2</v>
      </c>
      <c r="BD269" s="5">
        <v>-0.104685252577043</v>
      </c>
      <c r="BE269" s="5">
        <v>1.7582807781313801E-2</v>
      </c>
      <c r="BF269" s="5">
        <v>-9.7302728039801903E-2</v>
      </c>
      <c r="BG269" s="5">
        <v>0.12324162632311</v>
      </c>
      <c r="BH269" s="5">
        <v>-0.100107757283434</v>
      </c>
      <c r="BI269" s="5">
        <v>0.215981084935505</v>
      </c>
      <c r="BJ269" s="5">
        <v>-0.20507441864672701</v>
      </c>
      <c r="BK269" s="5">
        <v>6.7018382988511302E-2</v>
      </c>
      <c r="BL269" s="5">
        <v>-0.13443856183049999</v>
      </c>
      <c r="BM269" s="5">
        <v>3.6858337647560302E-2</v>
      </c>
      <c r="BN269" s="5">
        <v>-7.2441210207220899E-2</v>
      </c>
      <c r="BO269" s="5">
        <v>-0.12465326265513101</v>
      </c>
      <c r="BP269" s="5">
        <v>-0.132039456504153</v>
      </c>
      <c r="BQ269" s="5">
        <v>-9.2266856605610403E-2</v>
      </c>
      <c r="BR269" s="5">
        <v>-0.14403573041298701</v>
      </c>
      <c r="BS269" s="5">
        <v>0.24900068451323901</v>
      </c>
      <c r="BT269" s="5">
        <v>-6.3853213329664094E-2</v>
      </c>
      <c r="BU269" s="5">
        <v>0.18801418593978</v>
      </c>
      <c r="BV269" s="5">
        <v>-0.19171165532848899</v>
      </c>
      <c r="BW269" s="5">
        <v>0.343680754876249</v>
      </c>
      <c r="BX269" s="5">
        <v>-9.72526972342979E-2</v>
      </c>
      <c r="BY269" s="5">
        <v>0.240755610081827</v>
      </c>
      <c r="BZ269" s="5">
        <v>-0.14119857523962501</v>
      </c>
      <c r="CA269" s="5">
        <v>0.26165325761728903</v>
      </c>
      <c r="CB269" s="5">
        <v>-0.156878883795359</v>
      </c>
      <c r="CC269" s="5">
        <v>0.20779282870722701</v>
      </c>
      <c r="CD269" s="5">
        <v>-5.2727354890325699E-2</v>
      </c>
      <c r="CE269" s="5">
        <v>4.2964796960104003E-2</v>
      </c>
      <c r="CF269" s="5">
        <v>-6.4940942982988706E-2</v>
      </c>
      <c r="CG269" s="5">
        <v>0.109538334966876</v>
      </c>
      <c r="CH269" s="5">
        <v>-5.2787315447214399E-2</v>
      </c>
      <c r="CI269" s="5">
        <v>0.12826466083810401</v>
      </c>
      <c r="CJ269" s="5">
        <v>-2.65427571946908E-3</v>
      </c>
      <c r="CK269" s="5">
        <v>-1.5316899397321599E-2</v>
      </c>
      <c r="CL269" s="5">
        <v>-0.121478415559889</v>
      </c>
      <c r="CM269" s="5">
        <v>3.5469451823531402E-2</v>
      </c>
      <c r="CN269" s="5">
        <v>-9.9294130561047703E-2</v>
      </c>
      <c r="CO269" s="5">
        <v>-2.76672664571699E-3</v>
      </c>
      <c r="CP269" s="5">
        <v>-0.21003944627107901</v>
      </c>
      <c r="CQ269" s="5">
        <v>0.268123350822979</v>
      </c>
      <c r="CR269" s="5">
        <v>-6.5786012750103595E-2</v>
      </c>
      <c r="CS269" s="5">
        <v>9.4049891526247403E-2</v>
      </c>
      <c r="CT269" s="5">
        <v>-0.106861184215779</v>
      </c>
      <c r="CU269" s="5">
        <v>5.2528128694584203E-2</v>
      </c>
      <c r="CV269" s="5">
        <v>-0.117418180981033</v>
      </c>
      <c r="CW269" s="5">
        <v>0.21418151411677899</v>
      </c>
      <c r="CX269" s="5">
        <v>-4.2897870481217799E-2</v>
      </c>
      <c r="CY269" s="5">
        <v>0.10842408881236899</v>
      </c>
      <c r="CZ269" s="5">
        <v>-0.13114584412958699</v>
      </c>
      <c r="DA269" s="5">
        <v>0.209447184190582</v>
      </c>
      <c r="DB269" s="5">
        <v>1.7918198562644601E-2</v>
      </c>
      <c r="DC269" s="5">
        <v>8.0320967956944E-3</v>
      </c>
      <c r="DD269" s="5">
        <v>-7.5117501257826999E-2</v>
      </c>
      <c r="DE269" s="5">
        <v>0.15448662067417701</v>
      </c>
      <c r="DF269" s="5">
        <v>-8.9317149168280596E-2</v>
      </c>
      <c r="DG269" s="5">
        <v>0.13124755571149899</v>
      </c>
      <c r="DH269" s="5">
        <v>-8.5911295019301503E-2</v>
      </c>
      <c r="DI269" s="5">
        <v>4.3289488986342002E-2</v>
      </c>
      <c r="DJ269" s="5">
        <v>-0.141458442252267</v>
      </c>
      <c r="DK269" s="5">
        <v>6.3734204531991398E-2</v>
      </c>
      <c r="DL269" s="5">
        <v>-0.15891465599440699</v>
      </c>
      <c r="DM269" s="5">
        <v>0.25601740530144801</v>
      </c>
      <c r="DN269" s="5">
        <v>-0.103894382549976</v>
      </c>
      <c r="DO269" s="5">
        <v>-4.2457944836060604E-3</v>
      </c>
      <c r="DP269" s="5">
        <v>-2.7779243251767401E-2</v>
      </c>
      <c r="DQ269" s="5">
        <v>8.9024910781317093E-2</v>
      </c>
      <c r="DR269" s="5">
        <v>-0.14653087900223699</v>
      </c>
      <c r="DS269" s="5">
        <v>4.3988254635036798E-2</v>
      </c>
      <c r="DT269" s="5">
        <v>-0.23659038534323901</v>
      </c>
      <c r="DU269" s="5">
        <v>0.29394512490390401</v>
      </c>
      <c r="DV269" s="5">
        <v>-8.4971891971624705E-2</v>
      </c>
      <c r="DW269" s="5">
        <v>0.18668039584596599</v>
      </c>
      <c r="DX269" s="5">
        <v>-1.33431181719188E-2</v>
      </c>
      <c r="DY269" s="5">
        <v>-9.5565359667423494E-2</v>
      </c>
      <c r="DZ269" s="5">
        <v>-0.18670248260945099</v>
      </c>
      <c r="EA269" s="5">
        <v>7.5232209691879201E-2</v>
      </c>
      <c r="EB269" s="5">
        <v>-9.4643344955629399E-2</v>
      </c>
      <c r="EC269" s="5">
        <v>0.21253983753134101</v>
      </c>
      <c r="ED269" s="5">
        <v>-0.13456512788397099</v>
      </c>
      <c r="EE269" s="5">
        <v>0.23891080438606599</v>
      </c>
      <c r="EF269" s="5">
        <v>-7.4491643659399795E-2</v>
      </c>
      <c r="EG269" s="5">
        <v>0.10164678260705801</v>
      </c>
      <c r="EH269" s="5">
        <v>-0.154116557682031</v>
      </c>
      <c r="EI269" s="5">
        <v>0.249899686277684</v>
      </c>
      <c r="EJ269" s="5">
        <v>-0.20451667210198099</v>
      </c>
      <c r="EK269" s="5">
        <v>0.29869433832849102</v>
      </c>
      <c r="EL269" s="5">
        <v>-0.121428281055785</v>
      </c>
      <c r="EM269" s="5">
        <v>0.22994632656642799</v>
      </c>
      <c r="EN269" s="5">
        <v>-0.13079348971578</v>
      </c>
      <c r="EO269" s="5">
        <v>9.6985533808321506E-2</v>
      </c>
      <c r="EP269" s="5">
        <v>-6.7215081390198397E-2</v>
      </c>
      <c r="EQ269" s="5">
        <v>0.137758044613077</v>
      </c>
      <c r="ER269" s="5">
        <v>-5.9236349037975901E-2</v>
      </c>
      <c r="ES269" s="5">
        <v>0.159864078629119</v>
      </c>
      <c r="ET269" s="5">
        <v>-1.7915852322193299E-2</v>
      </c>
      <c r="EU269" s="5">
        <v>0.15829464391949399</v>
      </c>
      <c r="EV269" s="5">
        <v>-6.0066422951260197E-2</v>
      </c>
      <c r="EW269" s="5">
        <v>0.180646639462539</v>
      </c>
      <c r="EX269" s="5">
        <v>5.6376081965931902E-3</v>
      </c>
      <c r="EY269" s="5">
        <v>9.4396465363998996E-2</v>
      </c>
      <c r="EZ269" s="5">
        <v>-5.8753862879987802E-2</v>
      </c>
      <c r="FA269" s="5">
        <v>0.16057414787124499</v>
      </c>
      <c r="FB269" s="5">
        <v>-0.27188018698449301</v>
      </c>
      <c r="FC269" s="5">
        <v>0.23164861982590701</v>
      </c>
      <c r="FD269" s="5">
        <v>-0.11040518789097099</v>
      </c>
      <c r="FE269" s="5">
        <v>0.22445743565986101</v>
      </c>
      <c r="FF269" s="5">
        <v>-0.25022416511893297</v>
      </c>
      <c r="FG269" s="5">
        <v>0.18668072709334901</v>
      </c>
      <c r="FH269" s="5">
        <v>9.8687695201731707E-2</v>
      </c>
      <c r="FI269" s="5">
        <v>-8.6200803045740904E-2</v>
      </c>
      <c r="FJ269" s="5">
        <v>-3.9127870922607298E-2</v>
      </c>
      <c r="FK269" s="5">
        <v>9.0294578030831796E-2</v>
      </c>
      <c r="FL269" s="5">
        <v>8.8801748217764306E-2</v>
      </c>
      <c r="FM269" s="5">
        <v>-0.20945291016468501</v>
      </c>
      <c r="FN269" s="5">
        <v>-7.3202598164417002E-2</v>
      </c>
      <c r="FO269" s="5">
        <v>9.6658174347410905E-2</v>
      </c>
      <c r="FP269" s="5">
        <v>-6.67151141541934E-2</v>
      </c>
      <c r="FQ269" s="5">
        <v>0.10692572543894099</v>
      </c>
      <c r="FR269" s="5">
        <v>8.2245192437272005E-2</v>
      </c>
      <c r="FS269" s="5">
        <v>-0.255874122790542</v>
      </c>
      <c r="FT269" s="5">
        <v>-9.64444094963927E-2</v>
      </c>
      <c r="FU269" s="5">
        <v>0.12299528733965701</v>
      </c>
      <c r="FV269" s="5">
        <v>-0.22702378518997501</v>
      </c>
      <c r="FW269" s="5">
        <v>0.214947808521436</v>
      </c>
      <c r="FX269" s="5">
        <v>-0.19183703878177299</v>
      </c>
      <c r="FY269" s="5">
        <v>0.29111652587618297</v>
      </c>
      <c r="FZ269" s="5">
        <v>-0.101251572945257</v>
      </c>
      <c r="GA269" s="5">
        <v>0.132655167057874</v>
      </c>
      <c r="GB269" s="5">
        <v>-0.113208821438988</v>
      </c>
      <c r="GC269" s="5">
        <v>1.0615391920026701E-2</v>
      </c>
      <c r="GD269" s="5">
        <v>-0.120261744271989</v>
      </c>
      <c r="GE269" s="5">
        <v>1.60044749029654E-3</v>
      </c>
      <c r="GF269" s="5">
        <v>-7.9708643968296106E-2</v>
      </c>
      <c r="GG269" s="5">
        <v>0.212219434840487</v>
      </c>
      <c r="GH269" s="5">
        <v>7.7063372090000401E-2</v>
      </c>
      <c r="GI269" s="5">
        <v>-0.27784378334049897</v>
      </c>
      <c r="GJ269" s="5">
        <v>-1.4972572002563E-2</v>
      </c>
      <c r="GK269" s="5">
        <v>0.123384221520823</v>
      </c>
      <c r="GL269" s="5">
        <v>-8.9305420292987298E-2</v>
      </c>
      <c r="GM269" s="5">
        <v>0.12677979003888401</v>
      </c>
      <c r="GN269" s="5">
        <v>-0.19990867789221201</v>
      </c>
      <c r="GO269" s="5">
        <v>0.160139924800377</v>
      </c>
      <c r="GP269" s="5">
        <v>-9.6640310522375997E-2</v>
      </c>
      <c r="GQ269" s="5">
        <v>0.16289216014343399</v>
      </c>
      <c r="GR269" s="5">
        <v>-4.37454341058688E-2</v>
      </c>
      <c r="GS269" s="5">
        <v>0.17204874341389501</v>
      </c>
      <c r="GT269" s="5">
        <v>-0.12108272922379899</v>
      </c>
      <c r="GU269" s="5">
        <v>9.7143426045839296E-2</v>
      </c>
      <c r="GV269" s="5">
        <v>-0.108221870733247</v>
      </c>
      <c r="GW269" s="5">
        <v>0.21383573930021901</v>
      </c>
      <c r="GX269" s="5">
        <v>1.2872040188048601E-2</v>
      </c>
      <c r="GY269" s="5">
        <v>4.0862166361205099E-2</v>
      </c>
      <c r="GZ269" s="5">
        <v>-0.127860995563538</v>
      </c>
      <c r="HA269" s="5">
        <v>3.6591013838284399E-2</v>
      </c>
      <c r="HB269" s="5">
        <v>-0.16066828947148501</v>
      </c>
      <c r="HC269" s="5">
        <v>0.25562379785456502</v>
      </c>
      <c r="HD269" s="5">
        <v>-1.6442833647857098E-2</v>
      </c>
      <c r="HE269" s="5">
        <v>-8.6698636179721303E-2</v>
      </c>
      <c r="HF269" s="5">
        <v>-0.123997662512846</v>
      </c>
      <c r="HG269" s="5">
        <v>4.5346372291547699E-2</v>
      </c>
      <c r="HH269" s="5">
        <v>-8.9969585490624504E-2</v>
      </c>
      <c r="HI269" s="5">
        <v>-2.29103083337601E-2</v>
      </c>
      <c r="HJ269" s="5">
        <v>-0.121761056998913</v>
      </c>
      <c r="HK269" s="5">
        <v>4.6360924415301298E-2</v>
      </c>
      <c r="HL269" s="5">
        <v>-0.13804363856349999</v>
      </c>
      <c r="HM269" s="5">
        <v>0.161333821875246</v>
      </c>
      <c r="HN269" s="5">
        <v>-0.18010920638273001</v>
      </c>
      <c r="HO269" s="5">
        <v>9.0314245046429195E-2</v>
      </c>
      <c r="HP269" s="5">
        <v>-0.125793818445392</v>
      </c>
      <c r="HQ269" s="5">
        <v>0.25421563001572001</v>
      </c>
      <c r="HR269" s="5">
        <v>-0.11393114563232799</v>
      </c>
      <c r="HS269" s="5">
        <v>0.26324818757991397</v>
      </c>
      <c r="HT269" s="5">
        <v>-0.27873179693911698</v>
      </c>
      <c r="HU269" s="5">
        <v>0.22789528787255101</v>
      </c>
      <c r="HV269" s="5">
        <v>1.7150642396357E-2</v>
      </c>
      <c r="HW269" s="5">
        <v>6.2685491579233601E-2</v>
      </c>
      <c r="HX269" s="5">
        <v>-6.9695950046512606E-2</v>
      </c>
      <c r="HY269" s="5">
        <v>0.19615976941015201</v>
      </c>
      <c r="HZ269" s="5">
        <v>-0.282995477606798</v>
      </c>
      <c r="IA269" s="5">
        <v>0.19846940191881701</v>
      </c>
      <c r="IB269" s="5">
        <v>-2.8981087757814598E-2</v>
      </c>
      <c r="IC269" s="5">
        <v>-8.3171674174964599E-2</v>
      </c>
      <c r="ID269" s="5">
        <v>-6.6217597612432996E-2</v>
      </c>
      <c r="IE269" s="5">
        <v>0.157736890916615</v>
      </c>
      <c r="IF269" s="5">
        <v>-3.7155012033299399E-2</v>
      </c>
      <c r="IG269" s="5">
        <v>0.11482259375119901</v>
      </c>
      <c r="IH269" s="5">
        <v>-5.0493096051628397E-2</v>
      </c>
      <c r="II269" s="5">
        <v>9.65125111592742E-2</v>
      </c>
      <c r="IJ269" s="5">
        <v>-0.129339697800821</v>
      </c>
      <c r="IK269" s="5">
        <v>0.18947684741529</v>
      </c>
      <c r="IL269" s="5">
        <v>-7.1986684603402407E-2</v>
      </c>
      <c r="IM269" s="5">
        <v>0.183933783999602</v>
      </c>
      <c r="IN269" s="5">
        <v>3.2710181285156202E-2</v>
      </c>
      <c r="IO269" s="5">
        <v>2.7010353901411599E-2</v>
      </c>
      <c r="IP269" s="5">
        <v>-0.13444990153061701</v>
      </c>
      <c r="IQ269" s="5">
        <v>0.16618747003146001</v>
      </c>
      <c r="IR269" s="5">
        <v>-0.21544808356442899</v>
      </c>
      <c r="IS269" s="5">
        <v>0.24161642106355499</v>
      </c>
      <c r="IT269" s="5">
        <v>3.8572387762888502E-2</v>
      </c>
      <c r="IU269" s="5">
        <v>3.3430520992891101E-2</v>
      </c>
      <c r="IV269" s="5">
        <v>-5.5473196066711201E-2</v>
      </c>
      <c r="IW269" s="5">
        <v>0.137472257952969</v>
      </c>
      <c r="IX269" s="5">
        <v>-8.3072151184055601E-2</v>
      </c>
      <c r="IY269" s="5">
        <v>0.19043321868695101</v>
      </c>
      <c r="IZ269" s="5">
        <v>-4.6658547616818202E-2</v>
      </c>
      <c r="JA269" s="5">
        <v>-4.5437571050439302E-2</v>
      </c>
      <c r="JB269" s="5">
        <v>-0.135375362710245</v>
      </c>
      <c r="JC269" s="5">
        <v>3.3550578510559502E-2</v>
      </c>
      <c r="JD269" s="5">
        <v>-0.113461046665219</v>
      </c>
      <c r="JE269" s="5">
        <v>4.1638134080230399E-2</v>
      </c>
      <c r="JF269" s="5">
        <v>1.00787511760798E-2</v>
      </c>
      <c r="JG269" s="5">
        <v>5.92424056099859E-2</v>
      </c>
      <c r="JH269" s="5">
        <v>-0.845736276369639</v>
      </c>
      <c r="JI269" s="5">
        <v>1</v>
      </c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</row>
    <row r="270" spans="1:389" x14ac:dyDescent="0.45">
      <c r="A270" s="4" t="str">
        <f ca="1">"OMN / beta1dist in "&amp;CELL("address",'damages-1990'!$J$136)</f>
        <v>OMN / beta1dist in '[BHM betas v3pd.xlsx]damages-1990'!$J$136</v>
      </c>
      <c r="B270" s="6">
        <v>0.34159143044260398</v>
      </c>
      <c r="C270" s="5">
        <v>2.0439090768259199E-2</v>
      </c>
      <c r="D270" s="5">
        <v>0.62163431381447198</v>
      </c>
      <c r="E270" s="5">
        <v>-0.31562711714206199</v>
      </c>
      <c r="F270" s="5">
        <v>0.21296990909007599</v>
      </c>
      <c r="G270" s="5">
        <v>7.3835666853313997E-2</v>
      </c>
      <c r="H270" s="5">
        <v>-0.22352904900670501</v>
      </c>
      <c r="I270" s="5">
        <v>0.25775376226138202</v>
      </c>
      <c r="J270" s="5">
        <v>0.76798846884764205</v>
      </c>
      <c r="K270" s="5">
        <v>-0.46929268666489998</v>
      </c>
      <c r="L270" s="5">
        <v>0.492274200683189</v>
      </c>
      <c r="M270" s="5">
        <v>-0.160925494622703</v>
      </c>
      <c r="N270" s="5">
        <v>-9.9636580645588099E-2</v>
      </c>
      <c r="O270" s="5">
        <v>0.13794706273730301</v>
      </c>
      <c r="P270" s="5">
        <v>0.391186013911134</v>
      </c>
      <c r="Q270" s="5">
        <v>-0.21164956752293901</v>
      </c>
      <c r="R270" s="5">
        <v>0.54088006757826201</v>
      </c>
      <c r="S270" s="5">
        <v>-0.228132108432411</v>
      </c>
      <c r="T270" s="5">
        <v>3.6412573112175203E-2</v>
      </c>
      <c r="U270" s="5">
        <v>-3.3910451124180903E-2</v>
      </c>
      <c r="V270" s="5">
        <v>0.240196159959253</v>
      </c>
      <c r="W270" s="5">
        <v>0.209675944729102</v>
      </c>
      <c r="X270" s="5">
        <v>0.61221266601494395</v>
      </c>
      <c r="Y270" s="5">
        <v>-0.302450024408357</v>
      </c>
      <c r="Z270" s="5">
        <v>7.4522319993135999E-3</v>
      </c>
      <c r="AA270" s="5">
        <v>0.13374265252065701</v>
      </c>
      <c r="AB270" s="5">
        <v>0.53699057983827103</v>
      </c>
      <c r="AC270" s="5">
        <v>-0.32879197096655</v>
      </c>
      <c r="AD270" s="5">
        <v>0.53335566877242502</v>
      </c>
      <c r="AE270" s="5">
        <v>-0.26724524696568103</v>
      </c>
      <c r="AF270" s="5">
        <v>0.412148967283745</v>
      </c>
      <c r="AG270" s="5">
        <v>-0.17040394629751199</v>
      </c>
      <c r="AH270" s="5">
        <v>0.15331797680641199</v>
      </c>
      <c r="AI270" s="5">
        <v>7.8591865205681205E-2</v>
      </c>
      <c r="AJ270" s="5">
        <v>0.65359722582614099</v>
      </c>
      <c r="AK270" s="5">
        <v>-0.3389203758514</v>
      </c>
      <c r="AL270" s="5">
        <v>0.20936414863887201</v>
      </c>
      <c r="AM270" s="5">
        <v>1.11284223474653E-2</v>
      </c>
      <c r="AN270" s="5">
        <v>0.128555440111112</v>
      </c>
      <c r="AO270" s="5">
        <v>-9.9588157689562001E-3</v>
      </c>
      <c r="AP270" s="5">
        <v>-2.6880221527709799E-2</v>
      </c>
      <c r="AQ270" s="5">
        <v>3.5211492284513202E-2</v>
      </c>
      <c r="AR270" s="5">
        <v>0.41432506854434398</v>
      </c>
      <c r="AS270" s="5">
        <v>-0.13069203401232399</v>
      </c>
      <c r="AT270" s="5">
        <v>0.17411817351582701</v>
      </c>
      <c r="AU270" s="5">
        <v>3.2135328514746798E-2</v>
      </c>
      <c r="AV270" s="5">
        <v>0.51827851478243103</v>
      </c>
      <c r="AW270" s="5">
        <v>-0.183000282392113</v>
      </c>
      <c r="AX270" s="5">
        <v>0.59606175873788803</v>
      </c>
      <c r="AY270" s="5">
        <v>-0.30841926811467602</v>
      </c>
      <c r="AZ270" s="5">
        <v>0.53013252365991304</v>
      </c>
      <c r="BA270" s="5">
        <v>-0.36186943079726702</v>
      </c>
      <c r="BB270" s="5">
        <v>0.59262622059907699</v>
      </c>
      <c r="BC270" s="5">
        <v>-0.30916794992176999</v>
      </c>
      <c r="BD270" s="5">
        <v>0.137684916135769</v>
      </c>
      <c r="BE270" s="5">
        <v>0.23824207241526599</v>
      </c>
      <c r="BF270" s="5">
        <v>0.49392765491026502</v>
      </c>
      <c r="BG270" s="5">
        <v>-0.229333841025151</v>
      </c>
      <c r="BH270" s="5">
        <v>0.67383590822338002</v>
      </c>
      <c r="BI270" s="5">
        <v>-0.41238959434065298</v>
      </c>
      <c r="BJ270" s="5">
        <v>-0.245092611254034</v>
      </c>
      <c r="BK270" s="5">
        <v>0.17001646521387501</v>
      </c>
      <c r="BL270" s="5">
        <v>-1.37490662984929E-2</v>
      </c>
      <c r="BM270" s="5">
        <v>1.16885571588798E-2</v>
      </c>
      <c r="BN270" s="5">
        <v>-0.134306535338165</v>
      </c>
      <c r="BO270" s="5">
        <v>0.331953023742876</v>
      </c>
      <c r="BP270" s="5">
        <v>-0.19977024522714201</v>
      </c>
      <c r="BQ270" s="5">
        <v>0.43354709288771998</v>
      </c>
      <c r="BR270" s="5">
        <v>0.56223916865134405</v>
      </c>
      <c r="BS270" s="5">
        <v>-0.34458350779597102</v>
      </c>
      <c r="BT270" s="5">
        <v>0.65193477415105705</v>
      </c>
      <c r="BU270" s="5">
        <v>-0.39504560840645198</v>
      </c>
      <c r="BV270" s="5">
        <v>0.65557962965304195</v>
      </c>
      <c r="BW270" s="5">
        <v>-0.37376366873190298</v>
      </c>
      <c r="BX270" s="5">
        <v>0.58858261340744999</v>
      </c>
      <c r="BY270" s="5">
        <v>-0.34671956639058599</v>
      </c>
      <c r="BZ270" s="5">
        <v>0.62801525465321395</v>
      </c>
      <c r="CA270" s="5">
        <v>-0.36136836368696201</v>
      </c>
      <c r="CB270" s="5">
        <v>0.21471713882780799</v>
      </c>
      <c r="CC270" s="5">
        <v>-1.9527836887972199E-2</v>
      </c>
      <c r="CD270" s="5">
        <v>0.34125722610900799</v>
      </c>
      <c r="CE270" s="5">
        <v>-0.16251474143351599</v>
      </c>
      <c r="CF270" s="5">
        <v>0.447120534232265</v>
      </c>
      <c r="CG270" s="5">
        <v>-0.228723716756533</v>
      </c>
      <c r="CH270" s="5">
        <v>0.16474549362918101</v>
      </c>
      <c r="CI270" s="5">
        <v>4.7274547980088399E-2</v>
      </c>
      <c r="CJ270" s="5">
        <v>0.25114375397847299</v>
      </c>
      <c r="CK270" s="5">
        <v>5.9045191537988803E-2</v>
      </c>
      <c r="CL270" s="5">
        <v>5.2856447378400201E-2</v>
      </c>
      <c r="CM270" s="5">
        <v>-5.34612423256538E-3</v>
      </c>
      <c r="CN270" s="5">
        <v>2.9429506790877399E-2</v>
      </c>
      <c r="CO270" s="5">
        <v>6.5127124627817695E-2</v>
      </c>
      <c r="CP270" s="5">
        <v>0.69910993511366404</v>
      </c>
      <c r="CQ270" s="5">
        <v>-0.450249262199234</v>
      </c>
      <c r="CR270" s="5">
        <v>0.41847440328258301</v>
      </c>
      <c r="CS270" s="5">
        <v>-0.22154961261006001</v>
      </c>
      <c r="CT270" s="5">
        <v>2.2668047474267001E-2</v>
      </c>
      <c r="CU270" s="5">
        <v>8.0787004845196096E-3</v>
      </c>
      <c r="CV270" s="5">
        <v>0.346556420534538</v>
      </c>
      <c r="CW270" s="5">
        <v>-0.12725120841265899</v>
      </c>
      <c r="CX270" s="5">
        <v>0.48692080932337301</v>
      </c>
      <c r="CY270" s="5">
        <v>-0.14636114130502001</v>
      </c>
      <c r="CZ270" s="5">
        <v>0.54157522010735104</v>
      </c>
      <c r="DA270" s="5">
        <v>-0.275751938394658</v>
      </c>
      <c r="DB270" s="5">
        <v>0.50696476052619699</v>
      </c>
      <c r="DC270" s="5">
        <v>-6.5530593921651198E-2</v>
      </c>
      <c r="DD270" s="5">
        <v>0.66128105862651398</v>
      </c>
      <c r="DE270" s="5">
        <v>-0.35305576516441001</v>
      </c>
      <c r="DF270" s="5">
        <v>0.57991963187641005</v>
      </c>
      <c r="DG270" s="5">
        <v>-0.31201961404208001</v>
      </c>
      <c r="DH270" s="5">
        <v>0.38445128291991199</v>
      </c>
      <c r="DI270" s="5">
        <v>-9.8613776353122906E-2</v>
      </c>
      <c r="DJ270" s="5">
        <v>-6.5519101447402806E-2</v>
      </c>
      <c r="DK270" s="5">
        <v>5.3206865543673799E-2</v>
      </c>
      <c r="DL270" s="5">
        <v>0.74354007115065501</v>
      </c>
      <c r="DM270" s="5">
        <v>-0.43492828334726602</v>
      </c>
      <c r="DN270" s="5">
        <v>-0.167034738707523</v>
      </c>
      <c r="DO270" s="5">
        <v>9.6150463762795194E-2</v>
      </c>
      <c r="DP270" s="5">
        <v>0.29725487241779303</v>
      </c>
      <c r="DQ270" s="5">
        <v>-4.2959102322623698E-2</v>
      </c>
      <c r="DR270" s="5">
        <v>0.105944736800596</v>
      </c>
      <c r="DS270" s="5">
        <v>0.121010960985516</v>
      </c>
      <c r="DT270" s="5">
        <v>0.41276270548070498</v>
      </c>
      <c r="DU270" s="5">
        <v>-0.27552097704116801</v>
      </c>
      <c r="DV270" s="5">
        <v>0.47594347180412699</v>
      </c>
      <c r="DW270" s="5">
        <v>-0.25773439047478802</v>
      </c>
      <c r="DX270" s="5">
        <v>-0.13196343103982899</v>
      </c>
      <c r="DY270" s="5">
        <v>0.20633066718943699</v>
      </c>
      <c r="DZ270" s="5">
        <v>-4.5678654306230103E-2</v>
      </c>
      <c r="EA270" s="5">
        <v>9.1725407483537594E-2</v>
      </c>
      <c r="EB270" s="5">
        <v>0.59848972249885002</v>
      </c>
      <c r="EC270" s="5">
        <v>-0.34931131376619201</v>
      </c>
      <c r="ED270" s="5">
        <v>0.67492115649269302</v>
      </c>
      <c r="EE270" s="5">
        <v>-0.41348640846310403</v>
      </c>
      <c r="EF270" s="5">
        <v>0.40312385439381399</v>
      </c>
      <c r="EG270" s="5">
        <v>-0.21788602771115001</v>
      </c>
      <c r="EH270" s="5">
        <v>0.71110085082708596</v>
      </c>
      <c r="EI270" s="5">
        <v>-0.40654419249760998</v>
      </c>
      <c r="EJ270" s="5">
        <v>0.70348296100102603</v>
      </c>
      <c r="EK270" s="5">
        <v>-0.401034526337185</v>
      </c>
      <c r="EL270" s="5">
        <v>0.60779738887586099</v>
      </c>
      <c r="EM270" s="5">
        <v>-0.364986835960044</v>
      </c>
      <c r="EN270" s="5">
        <v>0.25122006358636401</v>
      </c>
      <c r="EO270" s="5">
        <v>8.4976105266086802E-2</v>
      </c>
      <c r="EP270" s="5">
        <v>0.52444795960601698</v>
      </c>
      <c r="EQ270" s="5">
        <v>-0.34931870171791202</v>
      </c>
      <c r="ER270" s="5">
        <v>0.46684160660935198</v>
      </c>
      <c r="ES270" s="5">
        <v>-0.15591064432959201</v>
      </c>
      <c r="ET270" s="5">
        <v>0.44903553857412098</v>
      </c>
      <c r="EU270" s="5">
        <v>-0.23939866321741299</v>
      </c>
      <c r="EV270" s="5">
        <v>0.52438576474368603</v>
      </c>
      <c r="EW270" s="5">
        <v>-0.298781318215044</v>
      </c>
      <c r="EX270" s="5">
        <v>0.31400060423051501</v>
      </c>
      <c r="EY270" s="5">
        <v>-0.118029813966934</v>
      </c>
      <c r="EZ270" s="5">
        <v>0.45528667329614297</v>
      </c>
      <c r="FA270" s="5">
        <v>-0.168423731637903</v>
      </c>
      <c r="FB270" s="5">
        <v>0.19340969765476901</v>
      </c>
      <c r="FC270" s="5">
        <v>3.2521269156012202E-2</v>
      </c>
      <c r="FD270" s="5">
        <v>0.29709901877127198</v>
      </c>
      <c r="FE270" s="5">
        <v>-6.0546951598138499E-2</v>
      </c>
      <c r="FF270" s="5">
        <v>0.156718670765503</v>
      </c>
      <c r="FG270" s="5">
        <v>2.3677231477352099E-2</v>
      </c>
      <c r="FH270" s="5">
        <v>0.501742474087293</v>
      </c>
      <c r="FI270" s="5">
        <v>-0.26382158532245997</v>
      </c>
      <c r="FJ270" s="5">
        <v>0.57716974646268604</v>
      </c>
      <c r="FK270" s="5">
        <v>-0.22191607626062301</v>
      </c>
      <c r="FL270" s="5">
        <v>-0.15676518031161299</v>
      </c>
      <c r="FM270" s="5">
        <v>0.24186221177568201</v>
      </c>
      <c r="FN270" s="5">
        <v>0.57044402405026995</v>
      </c>
      <c r="FO270" s="5">
        <v>-0.20268298248657499</v>
      </c>
      <c r="FP270" s="5">
        <v>0.55345526878567597</v>
      </c>
      <c r="FQ270" s="5">
        <v>-0.16465508731925799</v>
      </c>
      <c r="FR270" s="5">
        <v>-0.29360968232704399</v>
      </c>
      <c r="FS270" s="5">
        <v>0.25023416795110098</v>
      </c>
      <c r="FT270" s="5">
        <v>0.50398350289481397</v>
      </c>
      <c r="FU270" s="5">
        <v>-8.1718461363709499E-2</v>
      </c>
      <c r="FV270" s="5">
        <v>0.257187207034139</v>
      </c>
      <c r="FW270" s="5">
        <v>3.4048941873713101E-2</v>
      </c>
      <c r="FX270" s="5">
        <v>0.37903579507062801</v>
      </c>
      <c r="FY270" s="5">
        <v>-0.146252583343043</v>
      </c>
      <c r="FZ270" s="5">
        <v>0.56648362163285504</v>
      </c>
      <c r="GA270" s="5">
        <v>-0.13225382684874001</v>
      </c>
      <c r="GB270" s="5">
        <v>0.12928722926681699</v>
      </c>
      <c r="GC270" s="5">
        <v>0.17060455454408499</v>
      </c>
      <c r="GD270" s="5">
        <v>-0.20391580636478099</v>
      </c>
      <c r="GE270" s="5">
        <v>0.229088671937796</v>
      </c>
      <c r="GF270" s="5">
        <v>0.57092720023260501</v>
      </c>
      <c r="GG270" s="5">
        <v>-0.32369358046160102</v>
      </c>
      <c r="GH270" s="5">
        <v>-0.47452550875420402</v>
      </c>
      <c r="GI270" s="5">
        <v>0.457007031971082</v>
      </c>
      <c r="GJ270" s="5">
        <v>0.46114466937175302</v>
      </c>
      <c r="GK270" s="5">
        <v>-0.26212164155921103</v>
      </c>
      <c r="GL270" s="5">
        <v>0.45766912513034502</v>
      </c>
      <c r="GM270" s="5">
        <v>-0.26966026073956401</v>
      </c>
      <c r="GN270" s="5">
        <v>0.19722762884564199</v>
      </c>
      <c r="GO270" s="5">
        <v>9.6242701443883402E-2</v>
      </c>
      <c r="GP270" s="5">
        <v>0.590693913177749</v>
      </c>
      <c r="GQ270" s="5">
        <v>-0.223215922421902</v>
      </c>
      <c r="GR270" s="5">
        <v>0.50433074397589694</v>
      </c>
      <c r="GS270" s="5">
        <v>-0.31521495211568301</v>
      </c>
      <c r="GT270" s="5">
        <v>0.40109735510905298</v>
      </c>
      <c r="GU270" s="5">
        <v>5.3917353730514699E-3</v>
      </c>
      <c r="GV270" s="5">
        <v>0.51922179991566597</v>
      </c>
      <c r="GW270" s="5">
        <v>-0.34834468628622101</v>
      </c>
      <c r="GX270" s="5">
        <v>0.46270415918209701</v>
      </c>
      <c r="GY270" s="5">
        <v>-0.10804802654397801</v>
      </c>
      <c r="GZ270" s="5">
        <v>-2.8116640972596102E-4</v>
      </c>
      <c r="HA270" s="5">
        <v>-2.2844368697087498E-3</v>
      </c>
      <c r="HB270" s="5">
        <v>0.52146322099053399</v>
      </c>
      <c r="HC270" s="5">
        <v>-0.31112041148805297</v>
      </c>
      <c r="HD270" s="5">
        <v>0.21338336982824099</v>
      </c>
      <c r="HE270" s="5">
        <v>0.170913615903828</v>
      </c>
      <c r="HF270" s="5">
        <v>-2.8100002866779401E-2</v>
      </c>
      <c r="HG270" s="5">
        <v>3.7754963685679897E-2</v>
      </c>
      <c r="HH270" s="5">
        <v>4.5362427044698898E-3</v>
      </c>
      <c r="HI270" s="5">
        <v>0.115504824843285</v>
      </c>
      <c r="HJ270" s="5">
        <v>-4.8741683608042097E-2</v>
      </c>
      <c r="HK270" s="5">
        <v>4.5121234672547701E-2</v>
      </c>
      <c r="HL270" s="5">
        <v>0.56335175371910995</v>
      </c>
      <c r="HM270" s="5">
        <v>-0.27573763945201601</v>
      </c>
      <c r="HN270" s="5">
        <v>9.0670330873966698E-2</v>
      </c>
      <c r="HO270" s="5">
        <v>8.4699467657273902E-2</v>
      </c>
      <c r="HP270" s="5">
        <v>0.397185666134792</v>
      </c>
      <c r="HQ270" s="5">
        <v>-7.7568717822535702E-2</v>
      </c>
      <c r="HR270" s="5">
        <v>0.61916089051968104</v>
      </c>
      <c r="HS270" s="5">
        <v>-0.325768189839577</v>
      </c>
      <c r="HT270" s="5">
        <v>0.15090687224032001</v>
      </c>
      <c r="HU270" s="5">
        <v>5.19200029189055E-2</v>
      </c>
      <c r="HV270" s="5">
        <v>0.48443820160115902</v>
      </c>
      <c r="HW270" s="5">
        <v>-0.180606051428296</v>
      </c>
      <c r="HX270" s="5">
        <v>0.58746433003977505</v>
      </c>
      <c r="HY270" s="5">
        <v>-0.34359591135603501</v>
      </c>
      <c r="HZ270" s="5">
        <v>7.0236467875345904E-2</v>
      </c>
      <c r="IA270" s="5">
        <v>7.6213486162907702E-3</v>
      </c>
      <c r="IB270" s="5">
        <v>-0.29664531304833103</v>
      </c>
      <c r="IC270" s="5">
        <v>0.27608289990447399</v>
      </c>
      <c r="ID270" s="5">
        <v>0.56021563632209503</v>
      </c>
      <c r="IE270" s="5">
        <v>-0.25640959133381802</v>
      </c>
      <c r="IF270" s="5">
        <v>0.55215969499977802</v>
      </c>
      <c r="IG270" s="5">
        <v>-0.25018254973777199</v>
      </c>
      <c r="IH270" s="5">
        <v>0.45295017383279401</v>
      </c>
      <c r="II270" s="5">
        <v>-0.266780065786969</v>
      </c>
      <c r="IJ270" s="5">
        <v>0.132570623977596</v>
      </c>
      <c r="IK270" s="5">
        <v>9.6240078811944598E-3</v>
      </c>
      <c r="IL270" s="5">
        <v>0.61607282905834104</v>
      </c>
      <c r="IM270" s="5">
        <v>-0.33483330395080402</v>
      </c>
      <c r="IN270" s="5">
        <v>0.55766162545766995</v>
      </c>
      <c r="IO270" s="5">
        <v>-0.30900944427479199</v>
      </c>
      <c r="IP270" s="5">
        <v>0.58673726772879298</v>
      </c>
      <c r="IQ270" s="5">
        <v>-0.25991937149450001</v>
      </c>
      <c r="IR270" s="5">
        <v>0.24708034608919699</v>
      </c>
      <c r="IS270" s="5">
        <v>-2.84397465377625E-2</v>
      </c>
      <c r="IT270" s="5">
        <v>0.47088977579004399</v>
      </c>
      <c r="IU270" s="5">
        <v>-0.14320527994132201</v>
      </c>
      <c r="IV270" s="5">
        <v>0.50326785753681402</v>
      </c>
      <c r="IW270" s="5">
        <v>-0.27037956701161803</v>
      </c>
      <c r="IX270" s="5">
        <v>0.455741437172832</v>
      </c>
      <c r="IY270" s="5">
        <v>-0.216992152880115</v>
      </c>
      <c r="IZ270" s="5">
        <v>9.7736580142458399E-3</v>
      </c>
      <c r="JA270" s="5">
        <v>0.104665958726538</v>
      </c>
      <c r="JB270" s="5">
        <v>-0.105092835302391</v>
      </c>
      <c r="JC270" s="5">
        <v>8.7390266925332898E-3</v>
      </c>
      <c r="JD270" s="5">
        <v>0.34341080556995801</v>
      </c>
      <c r="JE270" s="5">
        <v>3.6736725918137897E-2</v>
      </c>
      <c r="JF270" s="5">
        <v>0.34398583933628701</v>
      </c>
      <c r="JG270" s="5">
        <v>-0.200575922456668</v>
      </c>
      <c r="JH270" s="5">
        <v>0.21502446497014199</v>
      </c>
      <c r="JI270" s="5">
        <v>-0.13405494129710299</v>
      </c>
      <c r="JJ270" s="5">
        <v>1</v>
      </c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</row>
    <row r="271" spans="1:389" x14ac:dyDescent="0.45">
      <c r="A271" s="4" t="str">
        <f ca="1">"OMN / beta2dist in "&amp;CELL("address",'damages-1990'!$K$136)</f>
        <v>OMN / beta2dist in '[BHM betas v3pd.xlsx]damages-1990'!$K$136</v>
      </c>
      <c r="B271" s="6">
        <v>-0.204421500876205</v>
      </c>
      <c r="C271" s="5">
        <v>0.37820906846522101</v>
      </c>
      <c r="D271" s="5">
        <v>-0.23384583969866299</v>
      </c>
      <c r="E271" s="5">
        <v>0.52986284419750496</v>
      </c>
      <c r="F271" s="5">
        <v>-8.03874095121941E-2</v>
      </c>
      <c r="G271" s="5">
        <v>0.11749834163183701</v>
      </c>
      <c r="H271" s="5">
        <v>9.80463278356907E-2</v>
      </c>
      <c r="I271" s="5">
        <v>-0.222538711926936</v>
      </c>
      <c r="J271" s="5">
        <v>-0.44938857793653703</v>
      </c>
      <c r="K271" s="5">
        <v>0.71444164959648904</v>
      </c>
      <c r="L271" s="5">
        <v>-0.14737300296595501</v>
      </c>
      <c r="M271" s="5">
        <v>0.28577923879811601</v>
      </c>
      <c r="N271" s="5">
        <v>9.4156422306194101E-2</v>
      </c>
      <c r="O271" s="5">
        <v>-0.14855357459617</v>
      </c>
      <c r="P271" s="5">
        <v>-0.31607097295242298</v>
      </c>
      <c r="Q271" s="5">
        <v>0.46314940678851302</v>
      </c>
      <c r="R271" s="5">
        <v>-0.109444406782576</v>
      </c>
      <c r="S271" s="5">
        <v>0.36514876811569003</v>
      </c>
      <c r="T271" s="5">
        <v>-0.19503120780352201</v>
      </c>
      <c r="U271" s="5">
        <v>0.19615778717612001</v>
      </c>
      <c r="V271" s="5">
        <v>-4.8943336599082399E-3</v>
      </c>
      <c r="W271" s="5">
        <v>-4.12230750166959E-3</v>
      </c>
      <c r="X271" s="5">
        <v>-0.25557544230026402</v>
      </c>
      <c r="Y271" s="5">
        <v>0.51056103150916998</v>
      </c>
      <c r="Z271" s="5">
        <v>-3.0840779199463899E-2</v>
      </c>
      <c r="AA271" s="5">
        <v>1.9742404453386E-2</v>
      </c>
      <c r="AB271" s="5">
        <v>-0.233321787380836</v>
      </c>
      <c r="AC271" s="5">
        <v>0.51606297967331305</v>
      </c>
      <c r="AD271" s="5">
        <v>-0.30520704238531599</v>
      </c>
      <c r="AE271" s="5">
        <v>0.53791741860611397</v>
      </c>
      <c r="AF271" s="5">
        <v>-7.4952161709507303E-2</v>
      </c>
      <c r="AG271" s="5">
        <v>0.30905565240537902</v>
      </c>
      <c r="AH271" s="5">
        <v>-7.2579764128656493E-2</v>
      </c>
      <c r="AI271" s="5">
        <v>0.10128297209224001</v>
      </c>
      <c r="AJ271" s="5">
        <v>-0.39105058028531298</v>
      </c>
      <c r="AK271" s="5">
        <v>0.60504466863492501</v>
      </c>
      <c r="AL271" s="5">
        <v>0.296897940157616</v>
      </c>
      <c r="AM271" s="5">
        <v>-0.25678998995367602</v>
      </c>
      <c r="AN271" s="5">
        <v>-0.17874055018608401</v>
      </c>
      <c r="AO271" s="5">
        <v>0.214468472046727</v>
      </c>
      <c r="AP271" s="5">
        <v>-0.20855840160446601</v>
      </c>
      <c r="AQ271" s="5">
        <v>0.235762935987056</v>
      </c>
      <c r="AR271" s="5">
        <v>3.4416200243066297E-2</v>
      </c>
      <c r="AS271" s="5">
        <v>0.103320312819981</v>
      </c>
      <c r="AT271" s="5">
        <v>0.25865434928327602</v>
      </c>
      <c r="AU271" s="5">
        <v>-0.20613444862173799</v>
      </c>
      <c r="AV271" s="5">
        <v>-1.3004220060615799E-2</v>
      </c>
      <c r="AW271" s="5">
        <v>0.24383786802920501</v>
      </c>
      <c r="AX271" s="5">
        <v>-0.12094141843176701</v>
      </c>
      <c r="AY271" s="5">
        <v>0.39389855872698598</v>
      </c>
      <c r="AZ271" s="5">
        <v>-0.43103216492614499</v>
      </c>
      <c r="BA271" s="5">
        <v>0.58365971478150203</v>
      </c>
      <c r="BB271" s="5">
        <v>-0.19588335494141201</v>
      </c>
      <c r="BC271" s="5">
        <v>0.51165349275535499</v>
      </c>
      <c r="BD271" s="5">
        <v>-9.4696304467855499E-2</v>
      </c>
      <c r="BE271" s="5">
        <v>0.17910894058636001</v>
      </c>
      <c r="BF271" s="5">
        <v>-0.15393219811886</v>
      </c>
      <c r="BG271" s="5">
        <v>0.366096781854023</v>
      </c>
      <c r="BH271" s="5">
        <v>-0.29824386552139098</v>
      </c>
      <c r="BI271" s="5">
        <v>0.625804710125066</v>
      </c>
      <c r="BJ271" s="5">
        <v>-9.1298322279190394E-2</v>
      </c>
      <c r="BK271" s="5">
        <v>-9.5272052717868899E-2</v>
      </c>
      <c r="BL271" s="5">
        <v>-0.15631325754337</v>
      </c>
      <c r="BM271" s="5">
        <v>0.11354209527723</v>
      </c>
      <c r="BN271" s="5">
        <v>7.8269687062395399E-2</v>
      </c>
      <c r="BO271" s="5">
        <v>-0.220939933702824</v>
      </c>
      <c r="BP271" s="5">
        <v>5.91848643954761E-2</v>
      </c>
      <c r="BQ271" s="5">
        <v>-0.23627908402983799</v>
      </c>
      <c r="BR271" s="5">
        <v>-0.35897806668307303</v>
      </c>
      <c r="BS271" s="5">
        <v>0.63075575959878605</v>
      </c>
      <c r="BT271" s="5">
        <v>-0.22325451585324599</v>
      </c>
      <c r="BU271" s="5">
        <v>0.57642709372585499</v>
      </c>
      <c r="BV271" s="5">
        <v>-0.27514549693578699</v>
      </c>
      <c r="BW271" s="5">
        <v>0.58845797713805803</v>
      </c>
      <c r="BX271" s="5">
        <v>-0.223187358763627</v>
      </c>
      <c r="BY271" s="5">
        <v>0.51841731070655905</v>
      </c>
      <c r="BZ271" s="5">
        <v>-0.256305706111839</v>
      </c>
      <c r="CA271" s="5">
        <v>0.52234064679873704</v>
      </c>
      <c r="CB271" s="5">
        <v>0.184800992990451</v>
      </c>
      <c r="CC271" s="5">
        <v>5.3108926108059798E-3</v>
      </c>
      <c r="CD271" s="5">
        <v>-0.197070846387424</v>
      </c>
      <c r="CE271" s="5">
        <v>0.349322789395487</v>
      </c>
      <c r="CF271" s="5">
        <v>-0.18347548545589401</v>
      </c>
      <c r="CG271" s="5">
        <v>0.33433463914676997</v>
      </c>
      <c r="CH271" s="5">
        <v>0.350965489047186</v>
      </c>
      <c r="CI271" s="5">
        <v>-0.32214160827529698</v>
      </c>
      <c r="CJ271" s="5">
        <v>-2.9281890346849102E-4</v>
      </c>
      <c r="CK271" s="5">
        <v>2.00964345386636E-2</v>
      </c>
      <c r="CL271" s="5">
        <v>-0.14811228284974001</v>
      </c>
      <c r="CM271" s="5">
        <v>0.160005776357033</v>
      </c>
      <c r="CN271" s="5">
        <v>-9.4570614070943207E-2</v>
      </c>
      <c r="CO271" s="5">
        <v>8.9373461230033702E-2</v>
      </c>
      <c r="CP271" s="5">
        <v>-0.64930926166422098</v>
      </c>
      <c r="CQ271" s="5">
        <v>0.77895496059436997</v>
      </c>
      <c r="CR271" s="5">
        <v>-0.312517492162738</v>
      </c>
      <c r="CS271" s="5">
        <v>0.46308916338646799</v>
      </c>
      <c r="CT271" s="5">
        <v>-0.13133173218524599</v>
      </c>
      <c r="CU271" s="5">
        <v>0.137208072131244</v>
      </c>
      <c r="CV271" s="5">
        <v>-0.12538230979141299</v>
      </c>
      <c r="CW271" s="5">
        <v>0.26641097031137301</v>
      </c>
      <c r="CX271" s="5">
        <v>-0.14911045296721101</v>
      </c>
      <c r="CY271" s="5">
        <v>0.34839429677865702</v>
      </c>
      <c r="CZ271" s="5">
        <v>-0.16877693622763901</v>
      </c>
      <c r="DA271" s="5">
        <v>0.378328560554749</v>
      </c>
      <c r="DB271" s="5">
        <v>-0.109739497578116</v>
      </c>
      <c r="DC271" s="5">
        <v>0.20895760785960801</v>
      </c>
      <c r="DD271" s="5">
        <v>-0.56210581697108097</v>
      </c>
      <c r="DE271" s="5">
        <v>0.706826525990498</v>
      </c>
      <c r="DF271" s="5">
        <v>-0.31863605253862698</v>
      </c>
      <c r="DG271" s="5">
        <v>0.52176983535776</v>
      </c>
      <c r="DH271" s="5">
        <v>-0.20793166451185</v>
      </c>
      <c r="DI271" s="5">
        <v>0.37413999763891898</v>
      </c>
      <c r="DJ271" s="5">
        <v>-0.19152490318957299</v>
      </c>
      <c r="DK271" s="5">
        <v>0.199724645386996</v>
      </c>
      <c r="DL271" s="5">
        <v>-0.48269744798808201</v>
      </c>
      <c r="DM271" s="5">
        <v>0.742611245382783</v>
      </c>
      <c r="DN271" s="5">
        <v>-0.15211381538528501</v>
      </c>
      <c r="DO271" s="5">
        <v>0.14818904614431899</v>
      </c>
      <c r="DP271" s="5">
        <v>0.140288608001717</v>
      </c>
      <c r="DQ271" s="5">
        <v>-2.5136470330055501E-2</v>
      </c>
      <c r="DR271" s="5">
        <v>-5.1441010215696401E-2</v>
      </c>
      <c r="DS271" s="5">
        <v>7.5187715388363899E-2</v>
      </c>
      <c r="DT271" s="5">
        <v>-0.29445541046784102</v>
      </c>
      <c r="DU271" s="5">
        <v>0.424006562420426</v>
      </c>
      <c r="DV271" s="5">
        <v>-0.19757381182672101</v>
      </c>
      <c r="DW271" s="5">
        <v>0.42939054077143601</v>
      </c>
      <c r="DX271" s="5">
        <v>9.8167485253617E-4</v>
      </c>
      <c r="DY271" s="5">
        <v>-1.20514763716346E-2</v>
      </c>
      <c r="DZ271" s="5">
        <v>3.1042233618094502E-2</v>
      </c>
      <c r="EA271" s="5">
        <v>-4.1984319985991801E-2</v>
      </c>
      <c r="EB271" s="5">
        <v>-0.33710910432284502</v>
      </c>
      <c r="EC271" s="5">
        <v>0.59453929396621397</v>
      </c>
      <c r="ED271" s="5">
        <v>-0.38617147595817702</v>
      </c>
      <c r="EE271" s="5">
        <v>0.673114557771891</v>
      </c>
      <c r="EF271" s="5">
        <v>-0.33617970494400001</v>
      </c>
      <c r="EG271" s="5">
        <v>0.47237567195122998</v>
      </c>
      <c r="EH271" s="5">
        <v>-0.40530484731411298</v>
      </c>
      <c r="EI271" s="5">
        <v>0.65987269379999203</v>
      </c>
      <c r="EJ271" s="5">
        <v>-0.413801298076864</v>
      </c>
      <c r="EK271" s="5">
        <v>0.67130572573467895</v>
      </c>
      <c r="EL271" s="5">
        <v>-0.172184337575022</v>
      </c>
      <c r="EM271" s="5">
        <v>0.44728473318483802</v>
      </c>
      <c r="EN271" s="5">
        <v>4.3887131536867602E-2</v>
      </c>
      <c r="EO271" s="5">
        <v>-5.1760575851637798E-2</v>
      </c>
      <c r="EP271" s="5">
        <v>-0.39558346445733999</v>
      </c>
      <c r="EQ271" s="5">
        <v>0.54983984307150802</v>
      </c>
      <c r="ER271" s="5">
        <v>-2.8831277623632499E-2</v>
      </c>
      <c r="ES271" s="5">
        <v>0.20230663966337101</v>
      </c>
      <c r="ET271" s="5">
        <v>-3.0170642377240899E-2</v>
      </c>
      <c r="EU271" s="5">
        <v>0.26985045310654299</v>
      </c>
      <c r="EV271" s="5">
        <v>-0.18062125631950099</v>
      </c>
      <c r="EW271" s="5">
        <v>0.422492296906881</v>
      </c>
      <c r="EX271" s="5">
        <v>0.14403123207055701</v>
      </c>
      <c r="EY271" s="5">
        <v>5.6119954917277698E-2</v>
      </c>
      <c r="EZ271" s="5">
        <v>-6.1627266305201399E-2</v>
      </c>
      <c r="FA271" s="5">
        <v>0.28148839428931299</v>
      </c>
      <c r="FB271" s="5">
        <v>-0.113361943757846</v>
      </c>
      <c r="FC271" s="5">
        <v>0.15949213169381601</v>
      </c>
      <c r="FD271" s="5">
        <v>3.7135406148668601E-2</v>
      </c>
      <c r="FE271" s="5">
        <v>0.11064368418026201</v>
      </c>
      <c r="FF271" s="5">
        <v>-0.11655412499960301</v>
      </c>
      <c r="FG271" s="5">
        <v>0.15394508310046101</v>
      </c>
      <c r="FH271" s="5">
        <v>0.106568432542096</v>
      </c>
      <c r="FI271" s="5">
        <v>8.6461346603303194E-2</v>
      </c>
      <c r="FJ271" s="5">
        <v>-0.24150008627348499</v>
      </c>
      <c r="FK271" s="5">
        <v>0.47693614834277198</v>
      </c>
      <c r="FL271" s="5">
        <v>8.0632503041520295E-2</v>
      </c>
      <c r="FM271" s="5">
        <v>-9.4515001411901597E-2</v>
      </c>
      <c r="FN271" s="5">
        <v>-0.32436395121732903</v>
      </c>
      <c r="FO271" s="5">
        <v>0.49494508411515797</v>
      </c>
      <c r="FP271" s="5">
        <v>-0.21888644494960399</v>
      </c>
      <c r="FQ271" s="5">
        <v>0.32334238004469601</v>
      </c>
      <c r="FR271" s="5">
        <v>0.29672059246151899</v>
      </c>
      <c r="FS271" s="5">
        <v>-0.32276400921524101</v>
      </c>
      <c r="FT271" s="5">
        <v>-0.14741627171271901</v>
      </c>
      <c r="FU271" s="5">
        <v>0.23872025588054299</v>
      </c>
      <c r="FV271" s="5">
        <v>-6.2313689057289401E-2</v>
      </c>
      <c r="FW271" s="5">
        <v>0.14600614518539601</v>
      </c>
      <c r="FX271" s="5">
        <v>-2.22135346477371E-2</v>
      </c>
      <c r="FY271" s="5">
        <v>0.16207548480012601</v>
      </c>
      <c r="FZ271" s="5">
        <v>-0.18339427879676301</v>
      </c>
      <c r="GA271" s="5">
        <v>0.30344442895739798</v>
      </c>
      <c r="GB271" s="5">
        <v>-6.9813857148184194E-2</v>
      </c>
      <c r="GC271" s="5">
        <v>0.10602928193911799</v>
      </c>
      <c r="GD271" s="5">
        <v>6.4135715959741005E-2</v>
      </c>
      <c r="GE271" s="5">
        <v>-7.0301843322135196E-2</v>
      </c>
      <c r="GF271" s="5">
        <v>-0.212842629828668</v>
      </c>
      <c r="GG271" s="5">
        <v>0.55253885869139496</v>
      </c>
      <c r="GH271" s="5">
        <v>0.40525992660996302</v>
      </c>
      <c r="GI271" s="5">
        <v>-0.59549000249462503</v>
      </c>
      <c r="GJ271" s="5">
        <v>1.44907580714616E-2</v>
      </c>
      <c r="GK271" s="5">
        <v>0.21320654684389401</v>
      </c>
      <c r="GL271" s="5">
        <v>-0.40781755215076398</v>
      </c>
      <c r="GM271" s="5">
        <v>0.53295071934592497</v>
      </c>
      <c r="GN271" s="5">
        <v>-9.3698925198814606E-2</v>
      </c>
      <c r="GO271" s="5">
        <v>0.18339952205829299</v>
      </c>
      <c r="GP271" s="5">
        <v>-0.27302228412066598</v>
      </c>
      <c r="GQ271" s="5">
        <v>0.42003522737529903</v>
      </c>
      <c r="GR271" s="5">
        <v>-5.5653553912556601E-2</v>
      </c>
      <c r="GS271" s="5">
        <v>0.30887628372292503</v>
      </c>
      <c r="GT271" s="5">
        <v>-0.120723432823047</v>
      </c>
      <c r="GU271" s="5">
        <v>0.142858531007682</v>
      </c>
      <c r="GV271" s="5">
        <v>-0.209448320610854</v>
      </c>
      <c r="GW271" s="5">
        <v>0.49732756387997501</v>
      </c>
      <c r="GX271" s="5">
        <v>-7.7605525707631198E-2</v>
      </c>
      <c r="GY271" s="5">
        <v>0.179608505558114</v>
      </c>
      <c r="GZ271" s="5">
        <v>-0.171089562457691</v>
      </c>
      <c r="HA271" s="5">
        <v>0.13312333065265</v>
      </c>
      <c r="HB271" s="5">
        <v>-7.9706610055392701E-2</v>
      </c>
      <c r="HC271" s="5">
        <v>0.373793681909461</v>
      </c>
      <c r="HD271" s="5">
        <v>-0.101143951969051</v>
      </c>
      <c r="HE271" s="5">
        <v>0.19421098614245799</v>
      </c>
      <c r="HF271" s="5">
        <v>-0.18974274855800199</v>
      </c>
      <c r="HG271" s="5">
        <v>0.20344525394625201</v>
      </c>
      <c r="HH271" s="5">
        <v>-5.1475400181601801E-2</v>
      </c>
      <c r="HI271" s="5">
        <v>3.5905554809095401E-2</v>
      </c>
      <c r="HJ271" s="5">
        <v>-0.18564568576468299</v>
      </c>
      <c r="HK271" s="5">
        <v>0.193739473593424</v>
      </c>
      <c r="HL271" s="5">
        <v>-0.29875284638559002</v>
      </c>
      <c r="HM271" s="5">
        <v>0.54455720701128096</v>
      </c>
      <c r="HN271" s="5">
        <v>-8.4214689125847397E-2</v>
      </c>
      <c r="HO271" s="5">
        <v>0.11234091976921599</v>
      </c>
      <c r="HP271" s="5">
        <v>9.7329091062434703E-2</v>
      </c>
      <c r="HQ271" s="5">
        <v>0.16263340470456999</v>
      </c>
      <c r="HR271" s="5">
        <v>-0.108003649493636</v>
      </c>
      <c r="HS271" s="5">
        <v>0.32619721485077402</v>
      </c>
      <c r="HT271" s="5">
        <v>-0.12557673951715301</v>
      </c>
      <c r="HU271" s="5">
        <v>0.17033278308121799</v>
      </c>
      <c r="HV271" s="5">
        <v>-0.19139427239312101</v>
      </c>
      <c r="HW271" s="5">
        <v>0.41241519737999299</v>
      </c>
      <c r="HX271" s="5">
        <v>-0.141704879434709</v>
      </c>
      <c r="HY271" s="5">
        <v>0.46745950788194601</v>
      </c>
      <c r="HZ271" s="5">
        <v>-0.16341975936575701</v>
      </c>
      <c r="IA271" s="5">
        <v>0.189226112723684</v>
      </c>
      <c r="IB271" s="5">
        <v>0.129935094479848</v>
      </c>
      <c r="IC271" s="5">
        <v>-0.22157971391856901</v>
      </c>
      <c r="ID271" s="5">
        <v>-0.10456062461299601</v>
      </c>
      <c r="IE271" s="5">
        <v>0.39890948093920497</v>
      </c>
      <c r="IF271" s="5">
        <v>-0.230127809250357</v>
      </c>
      <c r="IG271" s="5">
        <v>0.490967286390876</v>
      </c>
      <c r="IH271" s="5">
        <v>-0.34057834692827199</v>
      </c>
      <c r="II271" s="5">
        <v>0.50059503309155695</v>
      </c>
      <c r="IJ271" s="5">
        <v>0.20507686987330401</v>
      </c>
      <c r="IK271" s="5">
        <v>-0.116329971142429</v>
      </c>
      <c r="IL271" s="5">
        <v>-0.191131328386664</v>
      </c>
      <c r="IM271" s="5">
        <v>0.493568142759787</v>
      </c>
      <c r="IN271" s="5">
        <v>-4.1663049356969198E-2</v>
      </c>
      <c r="IO271" s="5">
        <v>0.34096573500826299</v>
      </c>
      <c r="IP271" s="5">
        <v>-0.19516085132785299</v>
      </c>
      <c r="IQ271" s="5">
        <v>0.43072718557450201</v>
      </c>
      <c r="IR271" s="5">
        <v>8.5681843582756198E-2</v>
      </c>
      <c r="IS271" s="5">
        <v>3.0882286564564099E-2</v>
      </c>
      <c r="IT271" s="5">
        <v>-0.13473372753235499</v>
      </c>
      <c r="IU271" s="5">
        <v>0.32517913614275601</v>
      </c>
      <c r="IV271" s="5">
        <v>-0.26362747354570398</v>
      </c>
      <c r="IW271" s="5">
        <v>0.52571194852979797</v>
      </c>
      <c r="IX271" s="5">
        <v>-0.134136722282652</v>
      </c>
      <c r="IY271" s="5">
        <v>0.36306130043101198</v>
      </c>
      <c r="IZ271" s="5">
        <v>-2.40424674086736E-2</v>
      </c>
      <c r="JA271" s="5">
        <v>1.1930899287116501E-2</v>
      </c>
      <c r="JB271" s="5">
        <v>-0.22611404645390301</v>
      </c>
      <c r="JC271" s="5">
        <v>0.24141330751773499</v>
      </c>
      <c r="JD271" s="5">
        <v>-0.16253488058136101</v>
      </c>
      <c r="JE271" s="5">
        <v>0.35831383299722602</v>
      </c>
      <c r="JF271" s="5">
        <v>-5.24503900437144E-2</v>
      </c>
      <c r="JG271" s="5">
        <v>0.18128869861178301</v>
      </c>
      <c r="JH271" s="5">
        <v>-0.155049314292794</v>
      </c>
      <c r="JI271" s="5">
        <v>0.22345917041629201</v>
      </c>
      <c r="JJ271" s="5">
        <v>-0.67717047303657596</v>
      </c>
      <c r="JK271" s="5">
        <v>1</v>
      </c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</row>
    <row r="272" spans="1:389" x14ac:dyDescent="0.45">
      <c r="A272" s="4" t="str">
        <f ca="1">"PAK / beta1dist in "&amp;CELL("address",'damages-1990'!$J$137)</f>
        <v>PAK / beta1dist in '[BHM betas v3pd.xlsx]damages-1990'!$J$137</v>
      </c>
      <c r="B272" s="6">
        <v>0.56971230173127596</v>
      </c>
      <c r="C272" s="5">
        <v>-0.29066608675153999</v>
      </c>
      <c r="D272" s="5">
        <v>0.462839898763793</v>
      </c>
      <c r="E272" s="5">
        <v>-0.232101301620807</v>
      </c>
      <c r="F272" s="5">
        <v>0.250975987688423</v>
      </c>
      <c r="G272" s="5">
        <v>8.8886574649507E-2</v>
      </c>
      <c r="H272" s="5">
        <v>-0.17280869887106201</v>
      </c>
      <c r="I272" s="5">
        <v>0.249639653753606</v>
      </c>
      <c r="J272" s="5">
        <v>0.68381841432505297</v>
      </c>
      <c r="K272" s="5">
        <v>-0.45369755014145602</v>
      </c>
      <c r="L272" s="5">
        <v>0.52676631853233002</v>
      </c>
      <c r="M272" s="5">
        <v>-0.24299071988537399</v>
      </c>
      <c r="N272" s="5">
        <v>-4.2243516030044198E-2</v>
      </c>
      <c r="O272" s="5">
        <v>0.16607246218315999</v>
      </c>
      <c r="P272" s="5">
        <v>0.28877186310383202</v>
      </c>
      <c r="Q272" s="5">
        <v>-0.126655215026304</v>
      </c>
      <c r="R272" s="5">
        <v>0.34842709924963</v>
      </c>
      <c r="S272" s="5">
        <v>-5.16634622607135E-2</v>
      </c>
      <c r="T272" s="5">
        <v>5.66055317552841E-2</v>
      </c>
      <c r="U272" s="5">
        <v>7.0987602872341999E-3</v>
      </c>
      <c r="V272" s="5">
        <v>0.34172625226337899</v>
      </c>
      <c r="W272" s="5">
        <v>8.1975701395018002E-2</v>
      </c>
      <c r="X272" s="5">
        <v>0.39731974580461299</v>
      </c>
      <c r="Y272" s="5">
        <v>-0.12697698743414099</v>
      </c>
      <c r="Z272" s="5">
        <v>0.113703557482321</v>
      </c>
      <c r="AA272" s="5">
        <v>6.6402392154474396E-2</v>
      </c>
      <c r="AB272" s="5">
        <v>0.45033912527377101</v>
      </c>
      <c r="AC272" s="5">
        <v>-0.351723770426632</v>
      </c>
      <c r="AD272" s="5">
        <v>0.50489051546921304</v>
      </c>
      <c r="AE272" s="5">
        <v>-0.35167704019068002</v>
      </c>
      <c r="AF272" s="5">
        <v>0.471575381026066</v>
      </c>
      <c r="AG272" s="5">
        <v>-0.31265478192710799</v>
      </c>
      <c r="AH272" s="5">
        <v>0.22278255736949201</v>
      </c>
      <c r="AI272" s="5">
        <v>7.1920012315544804E-2</v>
      </c>
      <c r="AJ272" s="5">
        <v>0.63909422550279904</v>
      </c>
      <c r="AK272" s="5">
        <v>-0.39767776411639499</v>
      </c>
      <c r="AL272" s="5">
        <v>4.1291921100467199E-2</v>
      </c>
      <c r="AM272" s="5">
        <v>0.146836851862157</v>
      </c>
      <c r="AN272" s="5">
        <v>0.165162743911384</v>
      </c>
      <c r="AO272" s="5">
        <v>3.13199276724688E-2</v>
      </c>
      <c r="AP272" s="5">
        <v>1.8523675637076499E-2</v>
      </c>
      <c r="AQ272" s="5">
        <v>4.0538293378414303E-2</v>
      </c>
      <c r="AR272" s="5">
        <v>0.34125495569499498</v>
      </c>
      <c r="AS272" s="5">
        <v>-0.13031891214809599</v>
      </c>
      <c r="AT272" s="5">
        <v>9.3245250464329799E-2</v>
      </c>
      <c r="AU272" s="5">
        <v>9.4526895740371999E-3</v>
      </c>
      <c r="AV272" s="5">
        <v>0.40523103857558801</v>
      </c>
      <c r="AW272" s="5">
        <v>-0.124569443029809</v>
      </c>
      <c r="AX272" s="5">
        <v>0.42497383197876898</v>
      </c>
      <c r="AY272" s="5">
        <v>-0.17260502308096901</v>
      </c>
      <c r="AZ272" s="5">
        <v>0.42735056907894797</v>
      </c>
      <c r="BA272" s="5">
        <v>-0.26939193412604101</v>
      </c>
      <c r="BB272" s="5">
        <v>0.398659868974724</v>
      </c>
      <c r="BC272" s="5">
        <v>-0.19278252486809</v>
      </c>
      <c r="BD272" s="5">
        <v>0.278083733835505</v>
      </c>
      <c r="BE272" s="5">
        <v>7.8895375133773205E-2</v>
      </c>
      <c r="BF272" s="5">
        <v>0.36534408848121203</v>
      </c>
      <c r="BG272" s="5">
        <v>-0.16896632922648899</v>
      </c>
      <c r="BH272" s="5">
        <v>0.56468486853854405</v>
      </c>
      <c r="BI272" s="5">
        <v>-0.37406618004567399</v>
      </c>
      <c r="BJ272" s="5">
        <v>-0.15712037566846301</v>
      </c>
      <c r="BK272" s="5">
        <v>0.125117741538046</v>
      </c>
      <c r="BL272" s="5">
        <v>1.8258909790842499E-2</v>
      </c>
      <c r="BM272" s="5">
        <v>4.42563620313524E-2</v>
      </c>
      <c r="BN272" s="5">
        <v>3.8384253468188703E-2</v>
      </c>
      <c r="BO272" s="5">
        <v>0.19652277589776401</v>
      </c>
      <c r="BP272" s="5">
        <v>-5.5809044660326199E-2</v>
      </c>
      <c r="BQ272" s="5">
        <v>0.28902224494803402</v>
      </c>
      <c r="BR272" s="5">
        <v>0.391637735497124</v>
      </c>
      <c r="BS272" s="5">
        <v>-0.273911216771838</v>
      </c>
      <c r="BT272" s="5">
        <v>0.53222476267321495</v>
      </c>
      <c r="BU272" s="5">
        <v>-0.352054875965015</v>
      </c>
      <c r="BV272" s="5">
        <v>0.45551664833496402</v>
      </c>
      <c r="BW272" s="5">
        <v>-0.236074639261176</v>
      </c>
      <c r="BX272" s="5">
        <v>0.35728843992857401</v>
      </c>
      <c r="BY272" s="5">
        <v>-0.18124376129781899</v>
      </c>
      <c r="BZ272" s="5">
        <v>0.39048551716215302</v>
      </c>
      <c r="CA272" s="5">
        <v>-0.19776157408034101</v>
      </c>
      <c r="CB272" s="5">
        <v>8.2925798686083195E-5</v>
      </c>
      <c r="CC272" s="5">
        <v>0.18429734862998701</v>
      </c>
      <c r="CD272" s="5">
        <v>0.39594772249858301</v>
      </c>
      <c r="CE272" s="5">
        <v>-0.25230771141533298</v>
      </c>
      <c r="CF272" s="5">
        <v>0.373506053450397</v>
      </c>
      <c r="CG272" s="5">
        <v>-0.223505476547396</v>
      </c>
      <c r="CH272" s="5">
        <v>5.0124460277120197E-2</v>
      </c>
      <c r="CI272" s="5">
        <v>8.7710715362402505E-2</v>
      </c>
      <c r="CJ272" s="5">
        <v>0.28206159021143601</v>
      </c>
      <c r="CK272" s="5">
        <v>1.4784086898456899E-2</v>
      </c>
      <c r="CL272" s="5">
        <v>6.5038663774743904E-2</v>
      </c>
      <c r="CM272" s="5">
        <v>4.0775385396292101E-2</v>
      </c>
      <c r="CN272" s="5">
        <v>6.9271383618312005E-2</v>
      </c>
      <c r="CO272" s="5">
        <v>7.7010354205962195E-2</v>
      </c>
      <c r="CP272" s="5">
        <v>0.46787625546206202</v>
      </c>
      <c r="CQ272" s="5">
        <v>-0.30437921811865998</v>
      </c>
      <c r="CR272" s="5">
        <v>0.27801397720688298</v>
      </c>
      <c r="CS272" s="5">
        <v>-9.0616189493479493E-2</v>
      </c>
      <c r="CT272" s="5">
        <v>6.1462805231670498E-2</v>
      </c>
      <c r="CU272" s="5">
        <v>1.1724583667246701E-2</v>
      </c>
      <c r="CV272" s="5">
        <v>0.112118122310263</v>
      </c>
      <c r="CW272" s="5">
        <v>9.4273915143554696E-2</v>
      </c>
      <c r="CX272" s="5">
        <v>0.57946327767504402</v>
      </c>
      <c r="CY272" s="5">
        <v>-0.34623709215411702</v>
      </c>
      <c r="CZ272" s="5">
        <v>0.33665253656460598</v>
      </c>
      <c r="DA272" s="5">
        <v>-0.13427981443974801</v>
      </c>
      <c r="DB272" s="5">
        <v>0.43756242272933499</v>
      </c>
      <c r="DC272" s="5">
        <v>-7.4165719331240498E-2</v>
      </c>
      <c r="DD272" s="5">
        <v>0.52667499995103095</v>
      </c>
      <c r="DE272" s="5">
        <v>-0.29149702480006101</v>
      </c>
      <c r="DF272" s="5">
        <v>0.58164143836976701</v>
      </c>
      <c r="DG272" s="5">
        <v>-0.39075225583533701</v>
      </c>
      <c r="DH272" s="5">
        <v>0.38489648453665398</v>
      </c>
      <c r="DI272" s="5">
        <v>-5.2799089579632398E-2</v>
      </c>
      <c r="DJ272" s="5">
        <v>-9.6280527504766407E-3</v>
      </c>
      <c r="DK272" s="5">
        <v>4.4217893124397903E-2</v>
      </c>
      <c r="DL272" s="5">
        <v>0.53936183552849704</v>
      </c>
      <c r="DM272" s="5">
        <v>-0.29753639470420501</v>
      </c>
      <c r="DN272" s="5">
        <v>-6.7639195415026998E-2</v>
      </c>
      <c r="DO272" s="5">
        <v>4.6688486644832702E-2</v>
      </c>
      <c r="DP272" s="5">
        <v>0.30089688131355002</v>
      </c>
      <c r="DQ272" s="5">
        <v>-0.116325662006162</v>
      </c>
      <c r="DR272" s="5">
        <v>0.200073462827347</v>
      </c>
      <c r="DS272" s="5">
        <v>5.2626340257840798E-2</v>
      </c>
      <c r="DT272" s="5">
        <v>0.26630918617446903</v>
      </c>
      <c r="DU272" s="5">
        <v>-0.14164545393856801</v>
      </c>
      <c r="DV272" s="5">
        <v>0.19549116429543101</v>
      </c>
      <c r="DW272" s="5">
        <v>-4.5390013063149298E-2</v>
      </c>
      <c r="DX272" s="5">
        <v>2.4967570644045499E-2</v>
      </c>
      <c r="DY272" s="5">
        <v>7.7543646235929201E-2</v>
      </c>
      <c r="DZ272" s="5">
        <v>6.84966383581459E-2</v>
      </c>
      <c r="EA272" s="5">
        <v>4.9830459047702599E-2</v>
      </c>
      <c r="EB272" s="5">
        <v>0.49106651563245302</v>
      </c>
      <c r="EC272" s="5">
        <v>-0.320124268626168</v>
      </c>
      <c r="ED272" s="5">
        <v>0.52243299885107297</v>
      </c>
      <c r="EE272" s="5">
        <v>-0.34558938083248703</v>
      </c>
      <c r="EF272" s="5">
        <v>0.27282398660350898</v>
      </c>
      <c r="EG272" s="5">
        <v>-0.103321801501042</v>
      </c>
      <c r="EH272" s="5">
        <v>0.56429372496255703</v>
      </c>
      <c r="EI272" s="5">
        <v>-0.36382884968367502</v>
      </c>
      <c r="EJ272" s="5">
        <v>0.58486508299370199</v>
      </c>
      <c r="EK272" s="5">
        <v>-0.372823879904783</v>
      </c>
      <c r="EL272" s="5">
        <v>0.430038981607473</v>
      </c>
      <c r="EM272" s="5">
        <v>-0.26832257679622701</v>
      </c>
      <c r="EN272" s="5">
        <v>0.28793393889271501</v>
      </c>
      <c r="EO272" s="5">
        <v>6.8353746221107001E-2</v>
      </c>
      <c r="EP272" s="5">
        <v>0.353081862648431</v>
      </c>
      <c r="EQ272" s="5">
        <v>-0.160833539437444</v>
      </c>
      <c r="ER272" s="5">
        <v>0.423847516976741</v>
      </c>
      <c r="ES272" s="5">
        <v>-0.16962475608764399</v>
      </c>
      <c r="ET272" s="5">
        <v>0.39779068880048501</v>
      </c>
      <c r="EU272" s="5">
        <v>-0.206825437574648</v>
      </c>
      <c r="EV272" s="5">
        <v>0.516032161722489</v>
      </c>
      <c r="EW272" s="5">
        <v>-0.31056779649093302</v>
      </c>
      <c r="EX272" s="5">
        <v>0.26271863083372898</v>
      </c>
      <c r="EY272" s="5">
        <v>-6.3904024807784898E-2</v>
      </c>
      <c r="EZ272" s="5">
        <v>0.42103110221974099</v>
      </c>
      <c r="FA272" s="5">
        <v>-0.198119473421173</v>
      </c>
      <c r="FB272" s="5">
        <v>0.25837951609288601</v>
      </c>
      <c r="FC272" s="5">
        <v>1.1477469687810601E-2</v>
      </c>
      <c r="FD272" s="5">
        <v>0.13005760308426101</v>
      </c>
      <c r="FE272" s="5">
        <v>8.6591077898983501E-2</v>
      </c>
      <c r="FF272" s="5">
        <v>0.20157479045200399</v>
      </c>
      <c r="FG272" s="5">
        <v>3.7214087416850401E-2</v>
      </c>
      <c r="FH272" s="5">
        <v>0.338385271611442</v>
      </c>
      <c r="FI272" s="5">
        <v>-0.16778702453974401</v>
      </c>
      <c r="FJ272" s="5">
        <v>0.663713104709588</v>
      </c>
      <c r="FK272" s="5">
        <v>-0.43531874044462199</v>
      </c>
      <c r="FL272" s="5">
        <v>2.0686096208646702E-2</v>
      </c>
      <c r="FM272" s="5">
        <v>0.108002057352395</v>
      </c>
      <c r="FN272" s="5">
        <v>0.69228131535917803</v>
      </c>
      <c r="FO272" s="5">
        <v>-0.39661295278189801</v>
      </c>
      <c r="FP272" s="5">
        <v>0.49490028988956902</v>
      </c>
      <c r="FQ272" s="5">
        <v>-0.16893403657495101</v>
      </c>
      <c r="FR272" s="5">
        <v>-0.13478756661889801</v>
      </c>
      <c r="FS272" s="5">
        <v>0.13548859742995201</v>
      </c>
      <c r="FT272" s="5">
        <v>0.39706313154447698</v>
      </c>
      <c r="FU272" s="5">
        <v>5.22934325200568E-5</v>
      </c>
      <c r="FV272" s="5">
        <v>0.322338843826531</v>
      </c>
      <c r="FW272" s="5">
        <v>-3.2257544942645697E-2</v>
      </c>
      <c r="FX272" s="5">
        <v>0.23096587808881899</v>
      </c>
      <c r="FY272" s="5">
        <v>-4.2270548014089401E-2</v>
      </c>
      <c r="FZ272" s="5">
        <v>0.42595572312959801</v>
      </c>
      <c r="GA272" s="5">
        <v>-1.5675362426971599E-2</v>
      </c>
      <c r="GB272" s="5">
        <v>0.23566929981180201</v>
      </c>
      <c r="GC272" s="5">
        <v>8.1156251809493804E-2</v>
      </c>
      <c r="GD272" s="5">
        <v>-0.16156748527884199</v>
      </c>
      <c r="GE272" s="5">
        <v>0.23031425506457101</v>
      </c>
      <c r="GF272" s="5">
        <v>0.51470980940352595</v>
      </c>
      <c r="GG272" s="5">
        <v>-0.32275190571622703</v>
      </c>
      <c r="GH272" s="5">
        <v>-0.36366382167826899</v>
      </c>
      <c r="GI272" s="5">
        <v>0.41967997654933797</v>
      </c>
      <c r="GJ272" s="5">
        <v>0.41181527907825999</v>
      </c>
      <c r="GK272" s="5">
        <v>-0.26907228388409998</v>
      </c>
      <c r="GL272" s="5">
        <v>0.26031030126638899</v>
      </c>
      <c r="GM272" s="5">
        <v>-9.0031666969029298E-2</v>
      </c>
      <c r="GN272" s="5">
        <v>0.25943990486465401</v>
      </c>
      <c r="GO272" s="5">
        <v>6.9972604972020999E-2</v>
      </c>
      <c r="GP272" s="5">
        <v>0.55090141056930297</v>
      </c>
      <c r="GQ272" s="5">
        <v>-0.264916125971073</v>
      </c>
      <c r="GR272" s="5">
        <v>0.42335634376151898</v>
      </c>
      <c r="GS272" s="5">
        <v>-0.27430744758722497</v>
      </c>
      <c r="GT272" s="5">
        <v>0.37534139665369598</v>
      </c>
      <c r="GU272" s="5">
        <v>4.3136719299601799E-2</v>
      </c>
      <c r="GV272" s="5">
        <v>0.232326188739201</v>
      </c>
      <c r="GW272" s="5">
        <v>-0.118060655953189</v>
      </c>
      <c r="GX272" s="5">
        <v>0.45702998539718798</v>
      </c>
      <c r="GY272" s="5">
        <v>-0.18398496527674801</v>
      </c>
      <c r="GZ272" s="5">
        <v>1.7850750460519201E-2</v>
      </c>
      <c r="HA272" s="5">
        <v>4.4359308624465098E-2</v>
      </c>
      <c r="HB272" s="5">
        <v>0.28099237939622701</v>
      </c>
      <c r="HC272" s="5">
        <v>-9.7185356107991505E-2</v>
      </c>
      <c r="HD272" s="5">
        <v>0.32128381110267901</v>
      </c>
      <c r="HE272" s="5">
        <v>4.63781410201188E-2</v>
      </c>
      <c r="HF272" s="5">
        <v>-7.84900808606789E-3</v>
      </c>
      <c r="HG272" s="5">
        <v>6.7052482273343997E-2</v>
      </c>
      <c r="HH272" s="5">
        <v>8.2323949130338095E-2</v>
      </c>
      <c r="HI272" s="5">
        <v>8.3310123748409307E-2</v>
      </c>
      <c r="HJ272" s="5">
        <v>-8.3783527321755306E-3</v>
      </c>
      <c r="HK272" s="5">
        <v>5.1249503686094197E-2</v>
      </c>
      <c r="HL272" s="5">
        <v>0.57069334644635905</v>
      </c>
      <c r="HM272" s="5">
        <v>-0.323524923370484</v>
      </c>
      <c r="HN272" s="5">
        <v>0.21265379599196499</v>
      </c>
      <c r="HO272" s="5">
        <v>1.1813777959153801E-2</v>
      </c>
      <c r="HP272" s="5">
        <v>0.38159742604043201</v>
      </c>
      <c r="HQ272" s="5">
        <v>-0.14834079470532999</v>
      </c>
      <c r="HR272" s="5">
        <v>0.53725880721749297</v>
      </c>
      <c r="HS272" s="5">
        <v>-0.23762969729594</v>
      </c>
      <c r="HT272" s="5">
        <v>0.18084102248817999</v>
      </c>
      <c r="HU272" s="5">
        <v>9.8012797910486005E-2</v>
      </c>
      <c r="HV272" s="5">
        <v>0.545489608843437</v>
      </c>
      <c r="HW272" s="5">
        <v>-0.36600155421762698</v>
      </c>
      <c r="HX272" s="5">
        <v>0.39527287657362098</v>
      </c>
      <c r="HY272" s="5">
        <v>-0.22305297092439599</v>
      </c>
      <c r="HZ272" s="5">
        <v>9.4718667310063703E-2</v>
      </c>
      <c r="IA272" s="5">
        <v>6.3611475943008103E-2</v>
      </c>
      <c r="IB272" s="5">
        <v>-0.25013313894401701</v>
      </c>
      <c r="IC272" s="5">
        <v>0.228615203687692</v>
      </c>
      <c r="ID272" s="5">
        <v>0.43345977267444702</v>
      </c>
      <c r="IE272" s="5">
        <v>-0.18594998455856099</v>
      </c>
      <c r="IF272" s="5">
        <v>0.55720713019691703</v>
      </c>
      <c r="IG272" s="5">
        <v>-0.38533922043950097</v>
      </c>
      <c r="IH272" s="5">
        <v>0.341053818360948</v>
      </c>
      <c r="II272" s="5">
        <v>-0.16551392708079901</v>
      </c>
      <c r="IJ272" s="5">
        <v>7.0038571149842202E-2</v>
      </c>
      <c r="IK272" s="5">
        <v>5.9737502254389504E-3</v>
      </c>
      <c r="IL272" s="5">
        <v>0.53057840689488101</v>
      </c>
      <c r="IM272" s="5">
        <v>-0.27999947281644999</v>
      </c>
      <c r="IN272" s="5">
        <v>0.421370238432688</v>
      </c>
      <c r="IO272" s="5">
        <v>-0.26662464213930698</v>
      </c>
      <c r="IP272" s="5">
        <v>0.38734885201400998</v>
      </c>
      <c r="IQ272" s="5">
        <v>-0.131040658161515</v>
      </c>
      <c r="IR272" s="5">
        <v>0.32602021162067102</v>
      </c>
      <c r="IS272" s="5">
        <v>-0.160948452309673</v>
      </c>
      <c r="IT272" s="5">
        <v>0.50280144171263397</v>
      </c>
      <c r="IU272" s="5">
        <v>-0.28154172219971202</v>
      </c>
      <c r="IV272" s="5">
        <v>0.41881678712798898</v>
      </c>
      <c r="IW272" s="5">
        <v>-0.28798971899769199</v>
      </c>
      <c r="IX272" s="5">
        <v>0.36626119319216</v>
      </c>
      <c r="IY272" s="5">
        <v>-0.17296645500664301</v>
      </c>
      <c r="IZ272" s="5">
        <v>9.8524023079228598E-2</v>
      </c>
      <c r="JA272" s="5">
        <v>5.6391471098365002E-2</v>
      </c>
      <c r="JB272" s="5">
        <v>-6.1380531688328903E-2</v>
      </c>
      <c r="JC272" s="5">
        <v>2.17195376358361E-2</v>
      </c>
      <c r="JD272" s="5">
        <v>0.53061765136389905</v>
      </c>
      <c r="JE272" s="5">
        <v>-0.24861060009980801</v>
      </c>
      <c r="JF272" s="5">
        <v>1.57610506248014E-2</v>
      </c>
      <c r="JG272" s="5">
        <v>8.1664743334687206E-2</v>
      </c>
      <c r="JH272" s="5">
        <v>0.23271085758770299</v>
      </c>
      <c r="JI272" s="5">
        <v>-7.1806980025892503E-2</v>
      </c>
      <c r="JJ272" s="5">
        <v>0.64879362276924102</v>
      </c>
      <c r="JK272" s="5">
        <v>-0.41349911553579</v>
      </c>
      <c r="JL272" s="5">
        <v>1</v>
      </c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</row>
    <row r="273" spans="1:389" x14ac:dyDescent="0.45">
      <c r="A273" s="4" t="str">
        <f ca="1">"PAK / beta2dist in "&amp;CELL("address",'damages-1990'!$K$137)</f>
        <v>PAK / beta2dist in '[BHM betas v3pd.xlsx]damages-1990'!$K$137</v>
      </c>
      <c r="B273" s="6">
        <v>-0.37679489904444202</v>
      </c>
      <c r="C273" s="5">
        <v>0.61265988857118903</v>
      </c>
      <c r="D273" s="5">
        <v>-0.10385581960674201</v>
      </c>
      <c r="E273" s="5">
        <v>0.40146957381315501</v>
      </c>
      <c r="F273" s="5">
        <v>-7.2678164705790596E-2</v>
      </c>
      <c r="G273" s="5">
        <v>7.25886304199585E-2</v>
      </c>
      <c r="H273" s="5">
        <v>3.2886814285846701E-2</v>
      </c>
      <c r="I273" s="5">
        <v>-0.15169506464508001</v>
      </c>
      <c r="J273" s="5">
        <v>-0.36450852750788298</v>
      </c>
      <c r="K273" s="5">
        <v>0.64018051279017696</v>
      </c>
      <c r="L273" s="5">
        <v>-0.171021131577374</v>
      </c>
      <c r="M273" s="5">
        <v>0.33917339989789203</v>
      </c>
      <c r="N273" s="5">
        <v>7.4486149343320304E-2</v>
      </c>
      <c r="O273" s="5">
        <v>-0.17187161329221301</v>
      </c>
      <c r="P273" s="5">
        <v>-0.19501295062193499</v>
      </c>
      <c r="Q273" s="5">
        <v>0.31897179345729199</v>
      </c>
      <c r="R273" s="5">
        <v>5.5899773427459699E-2</v>
      </c>
      <c r="S273" s="5">
        <v>0.16091285952617301</v>
      </c>
      <c r="T273" s="5">
        <v>-0.18258593329774001</v>
      </c>
      <c r="U273" s="5">
        <v>0.15313203893201299</v>
      </c>
      <c r="V273" s="5">
        <v>-6.5836716857399197E-2</v>
      </c>
      <c r="W273" s="5">
        <v>8.07006840995316E-2</v>
      </c>
      <c r="X273" s="5">
        <v>-6.0241155078644602E-2</v>
      </c>
      <c r="Y273" s="5">
        <v>0.29667137901537299</v>
      </c>
      <c r="Z273" s="5">
        <v>-0.107407045292068</v>
      </c>
      <c r="AA273" s="5">
        <v>8.9263515238681507E-2</v>
      </c>
      <c r="AB273" s="5">
        <v>-0.19780888821088399</v>
      </c>
      <c r="AC273" s="5">
        <v>0.51212626472573597</v>
      </c>
      <c r="AD273" s="5">
        <v>-0.306249188146274</v>
      </c>
      <c r="AE273" s="5">
        <v>0.57507521359117997</v>
      </c>
      <c r="AF273" s="5">
        <v>-0.12110373564889</v>
      </c>
      <c r="AG273" s="5">
        <v>0.38220304695017698</v>
      </c>
      <c r="AH273" s="5">
        <v>-0.10208850440290999</v>
      </c>
      <c r="AI273" s="5">
        <v>9.0519446534692197E-2</v>
      </c>
      <c r="AJ273" s="5">
        <v>-0.36980890946935902</v>
      </c>
      <c r="AK273" s="5">
        <v>0.60918810264712098</v>
      </c>
      <c r="AL273" s="5">
        <v>0.401296745605637</v>
      </c>
      <c r="AM273" s="5">
        <v>-0.34678303240924901</v>
      </c>
      <c r="AN273" s="5">
        <v>-0.16375875860907499</v>
      </c>
      <c r="AO273" s="5">
        <v>0.14773572845434799</v>
      </c>
      <c r="AP273" s="5">
        <v>-0.194310867057781</v>
      </c>
      <c r="AQ273" s="5">
        <v>0.18932544324112999</v>
      </c>
      <c r="AR273" s="5">
        <v>8.0561315770511802E-2</v>
      </c>
      <c r="AS273" s="5">
        <v>8.4065728953200997E-2</v>
      </c>
      <c r="AT273" s="5">
        <v>0.28942796953187</v>
      </c>
      <c r="AU273" s="5">
        <v>-0.151021139924056</v>
      </c>
      <c r="AV273" s="5">
        <v>6.6792986923973299E-2</v>
      </c>
      <c r="AW273" s="5">
        <v>0.16311576983568499</v>
      </c>
      <c r="AX273" s="5">
        <v>1.6577713873811E-2</v>
      </c>
      <c r="AY273" s="5">
        <v>0.231443823943316</v>
      </c>
      <c r="AZ273" s="5">
        <v>-0.30717042643521703</v>
      </c>
      <c r="BA273" s="5">
        <v>0.42730089023572099</v>
      </c>
      <c r="BB273" s="5">
        <v>-2.7940043179650102E-2</v>
      </c>
      <c r="BC273" s="5">
        <v>0.33894961593930301</v>
      </c>
      <c r="BD273" s="5">
        <v>-0.17096681233371799</v>
      </c>
      <c r="BE273" s="5">
        <v>0.26850858136899097</v>
      </c>
      <c r="BF273" s="5">
        <v>-5.7600654868687103E-2</v>
      </c>
      <c r="BG273" s="5">
        <v>0.28770061527881302</v>
      </c>
      <c r="BH273" s="5">
        <v>-0.21693649600932199</v>
      </c>
      <c r="BI273" s="5">
        <v>0.53408988768549903</v>
      </c>
      <c r="BJ273" s="5">
        <v>-0.123600756361419</v>
      </c>
      <c r="BK273" s="5">
        <v>-5.5265349298189097E-2</v>
      </c>
      <c r="BL273" s="5">
        <v>-0.16908202150567</v>
      </c>
      <c r="BM273" s="5">
        <v>9.9948567112447304E-2</v>
      </c>
      <c r="BN273" s="5">
        <v>-3.6355880920784699E-2</v>
      </c>
      <c r="BO273" s="5">
        <v>-9.57682848476724E-2</v>
      </c>
      <c r="BP273" s="5">
        <v>-3.1319996092321799E-2</v>
      </c>
      <c r="BQ273" s="5">
        <v>-9.7664561039425501E-2</v>
      </c>
      <c r="BR273" s="5">
        <v>-0.216969210402294</v>
      </c>
      <c r="BS273" s="5">
        <v>0.51036877561780603</v>
      </c>
      <c r="BT273" s="5">
        <v>-0.142717391786954</v>
      </c>
      <c r="BU273" s="5">
        <v>0.49306169662432497</v>
      </c>
      <c r="BV273" s="5">
        <v>-0.11212007675699701</v>
      </c>
      <c r="BW273" s="5">
        <v>0.410268557627473</v>
      </c>
      <c r="BX273" s="5">
        <v>-3.9950198566787297E-2</v>
      </c>
      <c r="BY273" s="5">
        <v>0.32684030713537598</v>
      </c>
      <c r="BZ273" s="5">
        <v>-4.8027047726656898E-2</v>
      </c>
      <c r="CA273" s="5">
        <v>0.32001154649220298</v>
      </c>
      <c r="CB273" s="5">
        <v>0.33415729702934799</v>
      </c>
      <c r="CC273" s="5">
        <v>-0.17668478694564199</v>
      </c>
      <c r="CD273" s="5">
        <v>-0.23447416237329499</v>
      </c>
      <c r="CE273" s="5">
        <v>0.38587391095008899</v>
      </c>
      <c r="CF273" s="5">
        <v>-0.10757615447889</v>
      </c>
      <c r="CG273" s="5">
        <v>0.28185622018994599</v>
      </c>
      <c r="CH273" s="5">
        <v>0.38729277453417699</v>
      </c>
      <c r="CI273" s="5">
        <v>-0.30313016658312097</v>
      </c>
      <c r="CJ273" s="5">
        <v>2.5757813403270401E-3</v>
      </c>
      <c r="CK273" s="5">
        <v>2.9441212303505E-2</v>
      </c>
      <c r="CL273" s="5">
        <v>-0.125896674877154</v>
      </c>
      <c r="CM273" s="5">
        <v>0.108266991781757</v>
      </c>
      <c r="CN273" s="5">
        <v>-0.100451098493872</v>
      </c>
      <c r="CO273" s="5">
        <v>7.5375335296423193E-2</v>
      </c>
      <c r="CP273" s="5">
        <v>-0.36924423712615301</v>
      </c>
      <c r="CQ273" s="5">
        <v>0.53365347477144898</v>
      </c>
      <c r="CR273" s="5">
        <v>-0.15324483148860399</v>
      </c>
      <c r="CS273" s="5">
        <v>0.27134738942366698</v>
      </c>
      <c r="CT273" s="5">
        <v>-0.14060665603240399</v>
      </c>
      <c r="CU273" s="5">
        <v>0.12828840676366299</v>
      </c>
      <c r="CV273" s="5">
        <v>6.5382869638420299E-2</v>
      </c>
      <c r="CW273" s="5">
        <v>4.7386528769070999E-2</v>
      </c>
      <c r="CX273" s="5">
        <v>-0.254941239055615</v>
      </c>
      <c r="CY273" s="5">
        <v>0.511031744673063</v>
      </c>
      <c r="CZ273" s="5">
        <v>1.1947580110628401E-3</v>
      </c>
      <c r="DA273" s="5">
        <v>0.22277255481159799</v>
      </c>
      <c r="DB273" s="5">
        <v>-4.5178923100152597E-2</v>
      </c>
      <c r="DC273" s="5">
        <v>0.18517636843823901</v>
      </c>
      <c r="DD273" s="5">
        <v>-0.39899409731197799</v>
      </c>
      <c r="DE273" s="5">
        <v>0.56086462481499</v>
      </c>
      <c r="DF273" s="5">
        <v>-0.28348460022688199</v>
      </c>
      <c r="DG273" s="5">
        <v>0.512490813809933</v>
      </c>
      <c r="DH273" s="5">
        <v>-0.14133026984381</v>
      </c>
      <c r="DI273" s="5">
        <v>0.248995366452327</v>
      </c>
      <c r="DJ273" s="5">
        <v>-0.18789058648689599</v>
      </c>
      <c r="DK273" s="5">
        <v>0.17151276384646899</v>
      </c>
      <c r="DL273" s="5">
        <v>-0.25956934534515702</v>
      </c>
      <c r="DM273" s="5">
        <v>0.51652308541311998</v>
      </c>
      <c r="DN273" s="5">
        <v>-0.193816956785657</v>
      </c>
      <c r="DO273" s="5">
        <v>0.16831350999452999</v>
      </c>
      <c r="DP273" s="5">
        <v>7.5234238479562093E-2</v>
      </c>
      <c r="DQ273" s="5">
        <v>8.0586296899728002E-2</v>
      </c>
      <c r="DR273" s="5">
        <v>-0.105926543547241</v>
      </c>
      <c r="DS273" s="5">
        <v>0.128244371610583</v>
      </c>
      <c r="DT273" s="5">
        <v>-0.124081748482274</v>
      </c>
      <c r="DU273" s="5">
        <v>0.23232057545599499</v>
      </c>
      <c r="DV273" s="5">
        <v>2.2273373525218899E-2</v>
      </c>
      <c r="DW273" s="5">
        <v>0.21769558077552101</v>
      </c>
      <c r="DX273" s="5">
        <v>-0.131333747346221</v>
      </c>
      <c r="DY273" s="5">
        <v>0.119374770768935</v>
      </c>
      <c r="DZ273" s="5">
        <v>-4.18230620978663E-2</v>
      </c>
      <c r="EA273" s="5">
        <v>-2.3946473418300202E-3</v>
      </c>
      <c r="EB273" s="5">
        <v>-0.25750489241230701</v>
      </c>
      <c r="EC273" s="5">
        <v>0.51855193303719005</v>
      </c>
      <c r="ED273" s="5">
        <v>-0.26139177614884801</v>
      </c>
      <c r="EE273" s="5">
        <v>0.55391714471182296</v>
      </c>
      <c r="EF273" s="5">
        <v>-0.18404687938706299</v>
      </c>
      <c r="EG273" s="5">
        <v>0.297282544458156</v>
      </c>
      <c r="EH273" s="5">
        <v>-0.25854547711049097</v>
      </c>
      <c r="EI273" s="5">
        <v>0.546008401213677</v>
      </c>
      <c r="EJ273" s="5">
        <v>-0.305172973168505</v>
      </c>
      <c r="EK273" s="5">
        <v>0.58248352142044402</v>
      </c>
      <c r="EL273" s="5">
        <v>-3.2423936860196997E-2</v>
      </c>
      <c r="EM273" s="5">
        <v>0.31861706883268198</v>
      </c>
      <c r="EN273" s="5">
        <v>2.70627335501126E-2</v>
      </c>
      <c r="EO273" s="5">
        <v>-4.1063057287364403E-2</v>
      </c>
      <c r="EP273" s="5">
        <v>-0.22631170046243401</v>
      </c>
      <c r="EQ273" s="5">
        <v>0.32265876584686698</v>
      </c>
      <c r="ER273" s="5">
        <v>-1.0589040129842299E-2</v>
      </c>
      <c r="ES273" s="5">
        <v>0.19193946798453501</v>
      </c>
      <c r="ET273" s="5">
        <v>-5.1817626720434802E-4</v>
      </c>
      <c r="EU273" s="5">
        <v>0.21055721010509201</v>
      </c>
      <c r="EV273" s="5">
        <v>-0.17287198108590801</v>
      </c>
      <c r="EW273" s="5">
        <v>0.38776988596148998</v>
      </c>
      <c r="EX273" s="5">
        <v>0.18291976566453599</v>
      </c>
      <c r="EY273" s="5">
        <v>-2.17222511975531E-2</v>
      </c>
      <c r="EZ273" s="5">
        <v>-4.3902144963289903E-2</v>
      </c>
      <c r="FA273" s="5">
        <v>0.27126005153218802</v>
      </c>
      <c r="FB273" s="5">
        <v>-0.127651809311944</v>
      </c>
      <c r="FC273" s="5">
        <v>0.14551517657461099</v>
      </c>
      <c r="FD273" s="5">
        <v>0.14647876318816599</v>
      </c>
      <c r="FE273" s="5">
        <v>-2.31459105588625E-2</v>
      </c>
      <c r="FF273" s="5">
        <v>-0.115163893920944</v>
      </c>
      <c r="FG273" s="5">
        <v>0.115329725665186</v>
      </c>
      <c r="FH273" s="5">
        <v>0.198836913526033</v>
      </c>
      <c r="FI273" s="5">
        <v>2.2248479536750702E-3</v>
      </c>
      <c r="FJ273" s="5">
        <v>-0.345190107318883</v>
      </c>
      <c r="FK273" s="5">
        <v>0.64907372187629198</v>
      </c>
      <c r="FL273" s="5">
        <v>-6.8301162449131606E-2</v>
      </c>
      <c r="FM273" s="5">
        <v>3.6151136231603702E-2</v>
      </c>
      <c r="FN273" s="5">
        <v>-0.41606459340097701</v>
      </c>
      <c r="FO273" s="5">
        <v>0.62773866591998495</v>
      </c>
      <c r="FP273" s="5">
        <v>-0.147139132241355</v>
      </c>
      <c r="FQ273" s="5">
        <v>0.27879020358895201</v>
      </c>
      <c r="FR273" s="5">
        <v>0.114660905521137</v>
      </c>
      <c r="FS273" s="5">
        <v>-0.17540778447344099</v>
      </c>
      <c r="FT273" s="5">
        <v>-1.3323062810558801E-2</v>
      </c>
      <c r="FU273" s="5">
        <v>9.9886284201438705E-2</v>
      </c>
      <c r="FV273" s="5">
        <v>-7.6114435826112201E-2</v>
      </c>
      <c r="FW273" s="5">
        <v>0.157126534930252</v>
      </c>
      <c r="FX273" s="5">
        <v>0.100990917293261</v>
      </c>
      <c r="FY273" s="5">
        <v>4.3713487714700301E-2</v>
      </c>
      <c r="FZ273" s="5">
        <v>-2.0411850353331599E-2</v>
      </c>
      <c r="GA273" s="5">
        <v>0.12852085556422699</v>
      </c>
      <c r="GB273" s="5">
        <v>-0.12279420221661599</v>
      </c>
      <c r="GC273" s="5">
        <v>0.15385937721594201</v>
      </c>
      <c r="GD273" s="5">
        <v>5.7233211141137802E-2</v>
      </c>
      <c r="GE273" s="5">
        <v>-8.09375591072862E-2</v>
      </c>
      <c r="GF273" s="5">
        <v>-0.16020260926468</v>
      </c>
      <c r="GG273" s="5">
        <v>0.48030694036883997</v>
      </c>
      <c r="GH273" s="5">
        <v>0.30540982645727699</v>
      </c>
      <c r="GI273" s="5">
        <v>-0.51367716356375803</v>
      </c>
      <c r="GJ273" s="5">
        <v>2.4296674221087999E-2</v>
      </c>
      <c r="GK273" s="5">
        <v>0.212570552156645</v>
      </c>
      <c r="GL273" s="5">
        <v>-0.194909701341514</v>
      </c>
      <c r="GM273" s="5">
        <v>0.30111950922478098</v>
      </c>
      <c r="GN273" s="5">
        <v>-0.10724192367176499</v>
      </c>
      <c r="GO273" s="5">
        <v>0.16664413421489199</v>
      </c>
      <c r="GP273" s="5">
        <v>-0.226649538972616</v>
      </c>
      <c r="GQ273" s="5">
        <v>0.41223424674207199</v>
      </c>
      <c r="GR273" s="5">
        <v>-9.4523619873951997E-3</v>
      </c>
      <c r="GS273" s="5">
        <v>0.25489978714709599</v>
      </c>
      <c r="GT273" s="5">
        <v>-4.1147297601449903E-2</v>
      </c>
      <c r="GU273" s="5">
        <v>4.0288922384471099E-2</v>
      </c>
      <c r="GV273" s="5">
        <v>1.37178501794321E-2</v>
      </c>
      <c r="GW273" s="5">
        <v>0.26231611881788303</v>
      </c>
      <c r="GX273" s="5">
        <v>-9.9486978900995102E-2</v>
      </c>
      <c r="GY273" s="5">
        <v>0.25247779333513498</v>
      </c>
      <c r="GZ273" s="5">
        <v>-0.167169933238633</v>
      </c>
      <c r="HA273" s="5">
        <v>0.100583784839584</v>
      </c>
      <c r="HB273" s="5">
        <v>0.119857822244127</v>
      </c>
      <c r="HC273" s="5">
        <v>0.13324526664605099</v>
      </c>
      <c r="HD273" s="5">
        <v>-0.146796080320997</v>
      </c>
      <c r="HE273" s="5">
        <v>0.241741072011213</v>
      </c>
      <c r="HF273" s="5">
        <v>-0.15535245133717901</v>
      </c>
      <c r="HG273" s="5">
        <v>0.14091245884411999</v>
      </c>
      <c r="HH273" s="5">
        <v>-0.10053325559397799</v>
      </c>
      <c r="HI273" s="5">
        <v>7.3660548983734794E-2</v>
      </c>
      <c r="HJ273" s="5">
        <v>-0.172127253993896</v>
      </c>
      <c r="HK273" s="5">
        <v>0.15556538773504999</v>
      </c>
      <c r="HL273" s="5">
        <v>-0.24662564164801901</v>
      </c>
      <c r="HM273" s="5">
        <v>0.48937482149539102</v>
      </c>
      <c r="HN273" s="5">
        <v>-0.15690438972828799</v>
      </c>
      <c r="HO273" s="5">
        <v>0.15720869170319701</v>
      </c>
      <c r="HP273" s="5">
        <v>4.72119343436989E-2</v>
      </c>
      <c r="HQ273" s="5">
        <v>0.24530635744654899</v>
      </c>
      <c r="HR273" s="5">
        <v>-4.2152941813122902E-2</v>
      </c>
      <c r="HS273" s="5">
        <v>0.205080065761123</v>
      </c>
      <c r="HT273" s="5">
        <v>-0.1084570600479</v>
      </c>
      <c r="HU273" s="5">
        <v>0.100439033670469</v>
      </c>
      <c r="HV273" s="5">
        <v>-0.29326986001873401</v>
      </c>
      <c r="HW273" s="5">
        <v>0.56791176403704602</v>
      </c>
      <c r="HX273" s="5">
        <v>1.9219753727456199E-2</v>
      </c>
      <c r="HY273" s="5">
        <v>0.30767761305334201</v>
      </c>
      <c r="HZ273" s="5">
        <v>-0.142192997450132</v>
      </c>
      <c r="IA273" s="5">
        <v>0.116732861940993</v>
      </c>
      <c r="IB273" s="5">
        <v>9.0758395171510103E-2</v>
      </c>
      <c r="IC273" s="5">
        <v>-0.145355634413629</v>
      </c>
      <c r="ID273" s="5">
        <v>-3.2005282086299901E-2</v>
      </c>
      <c r="IE273" s="5">
        <v>0.32526089809259001</v>
      </c>
      <c r="IF273" s="5">
        <v>-0.25308574574327403</v>
      </c>
      <c r="IG273" s="5">
        <v>0.570277940213051</v>
      </c>
      <c r="IH273" s="5">
        <v>-0.211377998319566</v>
      </c>
      <c r="II273" s="5">
        <v>0.336342680954833</v>
      </c>
      <c r="IJ273" s="5">
        <v>0.21756728049634599</v>
      </c>
      <c r="IK273" s="5">
        <v>-8.2297913753117E-2</v>
      </c>
      <c r="IL273" s="5">
        <v>-0.14296981885267901</v>
      </c>
      <c r="IM273" s="5">
        <v>0.41966463183814201</v>
      </c>
      <c r="IN273" s="5">
        <v>5.9650339598201797E-2</v>
      </c>
      <c r="IO273" s="5">
        <v>0.25361647148745098</v>
      </c>
      <c r="IP273" s="5">
        <v>-1.18701186753332E-2</v>
      </c>
      <c r="IQ273" s="5">
        <v>0.25954608610214602</v>
      </c>
      <c r="IR273" s="5">
        <v>-2.8701155193773399E-2</v>
      </c>
      <c r="IS273" s="5">
        <v>0.175603368275732</v>
      </c>
      <c r="IT273" s="5">
        <v>-0.21429830272398601</v>
      </c>
      <c r="IU273" s="5">
        <v>0.44883372012037698</v>
      </c>
      <c r="IV273" s="5">
        <v>-0.234490767437812</v>
      </c>
      <c r="IW273" s="5">
        <v>0.52605620541391696</v>
      </c>
      <c r="IX273" s="5">
        <v>-5.8466251089296803E-2</v>
      </c>
      <c r="IY273" s="5">
        <v>0.27597954379177497</v>
      </c>
      <c r="IZ273" s="5">
        <v>-8.6826126505378298E-2</v>
      </c>
      <c r="JA273" s="5">
        <v>6.4363212726001998E-2</v>
      </c>
      <c r="JB273" s="5">
        <v>-0.214504267697642</v>
      </c>
      <c r="JC273" s="5">
        <v>0.200398687789033</v>
      </c>
      <c r="JD273" s="5">
        <v>-0.29407364720555201</v>
      </c>
      <c r="JE273" s="5">
        <v>0.556345657580258</v>
      </c>
      <c r="JF273" s="5">
        <v>0.24204899795520099</v>
      </c>
      <c r="JG273" s="5">
        <v>-0.10159624009781699</v>
      </c>
      <c r="JH273" s="5">
        <v>-0.117860371832265</v>
      </c>
      <c r="JI273" s="5">
        <v>0.128269764316815</v>
      </c>
      <c r="JJ273" s="5">
        <v>-0.30596854061729101</v>
      </c>
      <c r="JK273" s="5">
        <v>0.64162548433356603</v>
      </c>
      <c r="JL273" s="5">
        <v>-0.73694450535695999</v>
      </c>
      <c r="JM273" s="5">
        <v>1</v>
      </c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</row>
    <row r="274" spans="1:389" x14ac:dyDescent="0.45">
      <c r="A274" s="4" t="str">
        <f ca="1">"PAN / beta1dist in "&amp;CELL("address",'damages-1990'!$J$138)</f>
        <v>PAN / beta1dist in '[BHM betas v3pd.xlsx]damages-1990'!$J$138</v>
      </c>
      <c r="B274" s="6">
        <v>0.15360952396314101</v>
      </c>
      <c r="C274" s="5">
        <v>0.154229962588983</v>
      </c>
      <c r="D274" s="5">
        <v>0.69962854701895005</v>
      </c>
      <c r="E274" s="5">
        <v>-0.47530265837346503</v>
      </c>
      <c r="F274" s="5">
        <v>0.14207516548575799</v>
      </c>
      <c r="G274" s="5">
        <v>2.1354796465037799E-2</v>
      </c>
      <c r="H274" s="5">
        <v>-0.102776472129954</v>
      </c>
      <c r="I274" s="5">
        <v>6.35831303962969E-2</v>
      </c>
      <c r="J274" s="5">
        <v>0.416196941315297</v>
      </c>
      <c r="K274" s="5">
        <v>-0.143143884863351</v>
      </c>
      <c r="L274" s="5">
        <v>0.25742669548929198</v>
      </c>
      <c r="M274" s="5">
        <v>4.4363661936648799E-2</v>
      </c>
      <c r="N274" s="5">
        <v>9.14003063277357E-2</v>
      </c>
      <c r="O274" s="5">
        <v>-0.129162329112538</v>
      </c>
      <c r="P274" s="5">
        <v>0.48776917134250303</v>
      </c>
      <c r="Q274" s="5">
        <v>-0.31103008874777799</v>
      </c>
      <c r="R274" s="5">
        <v>0.56490634297863596</v>
      </c>
      <c r="S274" s="5">
        <v>-0.38102022039917399</v>
      </c>
      <c r="T274" s="5">
        <v>3.0411454460751299E-2</v>
      </c>
      <c r="U274" s="5">
        <v>-6.4988120635852201E-2</v>
      </c>
      <c r="V274" s="5">
        <v>0.10769940470476901</v>
      </c>
      <c r="W274" s="5">
        <v>0.22924015396615999</v>
      </c>
      <c r="X274" s="5">
        <v>0.69775044821824295</v>
      </c>
      <c r="Y274" s="5">
        <v>-0.47155453347869902</v>
      </c>
      <c r="Z274" s="5">
        <v>7.8575754372002302E-2</v>
      </c>
      <c r="AA274" s="5">
        <v>-5.1045290690178803E-2</v>
      </c>
      <c r="AB274" s="5">
        <v>0.68261493853523303</v>
      </c>
      <c r="AC274" s="5">
        <v>-0.50654508308183899</v>
      </c>
      <c r="AD274" s="5">
        <v>0.53502082567669795</v>
      </c>
      <c r="AE274" s="5">
        <v>-0.32870632891444301</v>
      </c>
      <c r="AF274" s="5">
        <v>0.164148168180382</v>
      </c>
      <c r="AG274" s="5">
        <v>6.9841337819411806E-2</v>
      </c>
      <c r="AH274" s="5">
        <v>0.14078108929629499</v>
      </c>
      <c r="AI274" s="5">
        <v>-2.22041672451854E-2</v>
      </c>
      <c r="AJ274" s="5">
        <v>0.349711906724888</v>
      </c>
      <c r="AK274" s="5">
        <v>-7.0539902359593801E-2</v>
      </c>
      <c r="AL274" s="5">
        <v>0.45244898842461201</v>
      </c>
      <c r="AM274" s="5">
        <v>-0.34284804805684799</v>
      </c>
      <c r="AN274" s="5">
        <v>8.3508533612796296E-2</v>
      </c>
      <c r="AO274" s="5">
        <v>-3.1179706050884E-2</v>
      </c>
      <c r="AP274" s="5">
        <v>-5.88943352411853E-2</v>
      </c>
      <c r="AQ274" s="5">
        <v>4.5825222844684002E-2</v>
      </c>
      <c r="AR274" s="5">
        <v>0.56210527493859397</v>
      </c>
      <c r="AS274" s="5">
        <v>-0.42122922060309897</v>
      </c>
      <c r="AT274" s="5">
        <v>0.21925320830560099</v>
      </c>
      <c r="AU274" s="5">
        <v>-4.5085861126095202E-2</v>
      </c>
      <c r="AV274" s="5">
        <v>0.59549267070418499</v>
      </c>
      <c r="AW274" s="5">
        <v>-0.45305807680545102</v>
      </c>
      <c r="AX274" s="5">
        <v>0.68921839980147703</v>
      </c>
      <c r="AY274" s="5">
        <v>-0.58844061932117198</v>
      </c>
      <c r="AZ274" s="5">
        <v>0.43140642742201601</v>
      </c>
      <c r="BA274" s="5">
        <v>-0.261010338449565</v>
      </c>
      <c r="BB274" s="5">
        <v>0.55076198497235296</v>
      </c>
      <c r="BC274" s="5">
        <v>-0.27564820734595202</v>
      </c>
      <c r="BD274" s="5">
        <v>6.0282820973313903E-2</v>
      </c>
      <c r="BE274" s="5">
        <v>0.20757063479839</v>
      </c>
      <c r="BF274" s="5">
        <v>0.54662315418403795</v>
      </c>
      <c r="BG274" s="5">
        <v>-0.34831134655278001</v>
      </c>
      <c r="BH274" s="5">
        <v>0.68120191996644697</v>
      </c>
      <c r="BI274" s="5">
        <v>-0.475483607856024</v>
      </c>
      <c r="BJ274" s="5">
        <v>-0.30767893575537902</v>
      </c>
      <c r="BK274" s="5">
        <v>0.28770698846662801</v>
      </c>
      <c r="BL274" s="5">
        <v>5.6223715984965901E-2</v>
      </c>
      <c r="BM274" s="5">
        <v>-0.123865062991832</v>
      </c>
      <c r="BN274" s="5">
        <v>-0.151504653259114</v>
      </c>
      <c r="BO274" s="5">
        <v>0.24041331956256901</v>
      </c>
      <c r="BP274" s="5">
        <v>-0.16573167480103601</v>
      </c>
      <c r="BQ274" s="5">
        <v>0.309930399863244</v>
      </c>
      <c r="BR274" s="5">
        <v>0.63600387520893598</v>
      </c>
      <c r="BS274" s="5">
        <v>-0.45023762760057401</v>
      </c>
      <c r="BT274" s="5">
        <v>0.67822168183229803</v>
      </c>
      <c r="BU274" s="5">
        <v>-0.508024516278754</v>
      </c>
      <c r="BV274" s="5">
        <v>0.74832758220720597</v>
      </c>
      <c r="BW274" s="5">
        <v>-0.54419901994277498</v>
      </c>
      <c r="BX274" s="5">
        <v>0.75460444686560102</v>
      </c>
      <c r="BY274" s="5">
        <v>-0.60171584394083399</v>
      </c>
      <c r="BZ274" s="5">
        <v>0.75161099192689496</v>
      </c>
      <c r="CA274" s="5">
        <v>-0.59979838381859596</v>
      </c>
      <c r="CB274" s="5">
        <v>0.64235554559017605</v>
      </c>
      <c r="CC274" s="5">
        <v>-0.53218976505363402</v>
      </c>
      <c r="CD274" s="5">
        <v>0.28457724876921903</v>
      </c>
      <c r="CE274" s="5">
        <v>-8.5943008412642505E-2</v>
      </c>
      <c r="CF274" s="5">
        <v>0.70383598271346404</v>
      </c>
      <c r="CG274" s="5">
        <v>-0.53564496716277499</v>
      </c>
      <c r="CH274" s="5">
        <v>0.42852079074872901</v>
      </c>
      <c r="CI274" s="5">
        <v>-0.34294595845718401</v>
      </c>
      <c r="CJ274" s="5">
        <v>3.9814662146884602E-2</v>
      </c>
      <c r="CK274" s="5">
        <v>0.11362458025977901</v>
      </c>
      <c r="CL274" s="5">
        <v>3.5738671962531603E-2</v>
      </c>
      <c r="CM274" s="5">
        <v>-3.5042029238590199E-2</v>
      </c>
      <c r="CN274" s="5">
        <v>5.6228407873744897E-2</v>
      </c>
      <c r="CO274" s="5">
        <v>-4.2465460631807499E-2</v>
      </c>
      <c r="CP274" s="5">
        <v>0.354209058985405</v>
      </c>
      <c r="CQ274" s="5">
        <v>-0.158141401211226</v>
      </c>
      <c r="CR274" s="5">
        <v>0.50469810317917596</v>
      </c>
      <c r="CS274" s="5">
        <v>-0.30881139428574</v>
      </c>
      <c r="CT274" s="5">
        <v>4.5298654188576697E-2</v>
      </c>
      <c r="CU274" s="5">
        <v>-5.7079796618663602E-2</v>
      </c>
      <c r="CV274" s="5">
        <v>0.67272197027909297</v>
      </c>
      <c r="CW274" s="5">
        <v>-0.49531034284728498</v>
      </c>
      <c r="CX274" s="5">
        <v>0.44269326618150201</v>
      </c>
      <c r="CY274" s="5">
        <v>-0.213956935759055</v>
      </c>
      <c r="CZ274" s="5">
        <v>0.80518368390804496</v>
      </c>
      <c r="DA274" s="5">
        <v>-0.67706629140014496</v>
      </c>
      <c r="DB274" s="5">
        <v>0.32688405952758598</v>
      </c>
      <c r="DC274" s="5">
        <v>1.06110902741727E-2</v>
      </c>
      <c r="DD274" s="5">
        <v>0.311477387862857</v>
      </c>
      <c r="DE274" s="5">
        <v>-0.10764134979246601</v>
      </c>
      <c r="DF274" s="5">
        <v>0.38889934239489898</v>
      </c>
      <c r="DG274" s="5">
        <v>-0.174274473647341</v>
      </c>
      <c r="DH274" s="5">
        <v>0.26158766169763598</v>
      </c>
      <c r="DI274" s="5">
        <v>-9.2767414333622802E-2</v>
      </c>
      <c r="DJ274" s="5">
        <v>-9.5763744541171494E-2</v>
      </c>
      <c r="DK274" s="5">
        <v>5.94521723284413E-2</v>
      </c>
      <c r="DL274" s="5">
        <v>0.47736498582319298</v>
      </c>
      <c r="DM274" s="5">
        <v>-0.247962284441856</v>
      </c>
      <c r="DN274" s="5">
        <v>-0.175732764026889</v>
      </c>
      <c r="DO274" s="5">
        <v>0.12542430590154799</v>
      </c>
      <c r="DP274" s="5">
        <v>0.15078499007159801</v>
      </c>
      <c r="DQ274" s="5">
        <v>9.6057682547333198E-2</v>
      </c>
      <c r="DR274" s="5">
        <v>0.115502967141399</v>
      </c>
      <c r="DS274" s="5">
        <v>-2.05755576810412E-2</v>
      </c>
      <c r="DT274" s="5">
        <v>0.24033280399128401</v>
      </c>
      <c r="DU274" s="5">
        <v>-8.2549005364495498E-2</v>
      </c>
      <c r="DV274" s="5">
        <v>0.71802881565991505</v>
      </c>
      <c r="DW274" s="5">
        <v>-0.59271542288140799</v>
      </c>
      <c r="DX274" s="5">
        <v>-6.7416298226567098E-2</v>
      </c>
      <c r="DY274" s="5">
        <v>8.7917729699384495E-2</v>
      </c>
      <c r="DZ274" s="5">
        <v>0.118708152357499</v>
      </c>
      <c r="EA274" s="5">
        <v>-0.16883867400939501</v>
      </c>
      <c r="EB274" s="5">
        <v>0.69970186354157804</v>
      </c>
      <c r="EC274" s="5">
        <v>-0.49853353545779699</v>
      </c>
      <c r="ED274" s="5">
        <v>0.65306154849974796</v>
      </c>
      <c r="EE274" s="5">
        <v>-0.41841054564079599</v>
      </c>
      <c r="EF274" s="5">
        <v>0.49801217906692302</v>
      </c>
      <c r="EG274" s="5">
        <v>-0.31087298429816601</v>
      </c>
      <c r="EH274" s="5">
        <v>0.57866304662996504</v>
      </c>
      <c r="EI274" s="5">
        <v>-0.330955481626312</v>
      </c>
      <c r="EJ274" s="5">
        <v>0.58857957859429</v>
      </c>
      <c r="EK274" s="5">
        <v>-0.34718165350723701</v>
      </c>
      <c r="EL274" s="5">
        <v>0.75290790236145499</v>
      </c>
      <c r="EM274" s="5">
        <v>-0.59632740296516196</v>
      </c>
      <c r="EN274" s="5">
        <v>0.14443785849766699</v>
      </c>
      <c r="EO274" s="5">
        <v>4.0542361861377003E-2</v>
      </c>
      <c r="EP274" s="5">
        <v>0.49136934168136598</v>
      </c>
      <c r="EQ274" s="5">
        <v>-0.33597080929259199</v>
      </c>
      <c r="ER274" s="5">
        <v>0.55985146760014404</v>
      </c>
      <c r="ES274" s="5">
        <v>-0.40253703880238301</v>
      </c>
      <c r="ET274" s="5">
        <v>0.63951818092702495</v>
      </c>
      <c r="EU274" s="5">
        <v>-0.56809800137108502</v>
      </c>
      <c r="EV274" s="5">
        <v>0.58924244179715801</v>
      </c>
      <c r="EW274" s="5">
        <v>-0.51196070645892899</v>
      </c>
      <c r="EX274" s="5">
        <v>0.29617288025454902</v>
      </c>
      <c r="EY274" s="5">
        <v>-0.1899115066073</v>
      </c>
      <c r="EZ274" s="5">
        <v>0.57359985855314299</v>
      </c>
      <c r="FA274" s="5">
        <v>-0.41158815394790699</v>
      </c>
      <c r="FB274" s="5">
        <v>0.14949546350165399</v>
      </c>
      <c r="FC274" s="5">
        <v>-2.7158351070857501E-2</v>
      </c>
      <c r="FD274" s="5">
        <v>0.65708490474478998</v>
      </c>
      <c r="FE274" s="5">
        <v>-0.508090235043267</v>
      </c>
      <c r="FF274" s="5">
        <v>0.108232246144756</v>
      </c>
      <c r="FG274" s="5">
        <v>-8.7575095496249707E-3</v>
      </c>
      <c r="FH274" s="5">
        <v>0.47436427692010602</v>
      </c>
      <c r="FI274" s="5">
        <v>-0.26205073471594598</v>
      </c>
      <c r="FJ274" s="5">
        <v>0.423827966897044</v>
      </c>
      <c r="FK274" s="5">
        <v>-0.119306251136792</v>
      </c>
      <c r="FL274" s="5">
        <v>-0.19101191789956701</v>
      </c>
      <c r="FM274" s="5">
        <v>0.25074064018971498</v>
      </c>
      <c r="FN274" s="5">
        <v>0.25878628951919502</v>
      </c>
      <c r="FO274" s="5">
        <v>5.9172027909986803E-2</v>
      </c>
      <c r="FP274" s="5">
        <v>0.27941284889413698</v>
      </c>
      <c r="FQ274" s="5">
        <v>4.1291559950101898E-2</v>
      </c>
      <c r="FR274" s="5">
        <v>-0.17376518345560299</v>
      </c>
      <c r="FS274" s="5">
        <v>0.14550692220983499</v>
      </c>
      <c r="FT274" s="5">
        <v>0.27826006907813</v>
      </c>
      <c r="FU274" s="5">
        <v>3.3715295564536597E-2</v>
      </c>
      <c r="FV274" s="5">
        <v>0.196899475223694</v>
      </c>
      <c r="FW274" s="5">
        <v>-1.6732260258370501E-2</v>
      </c>
      <c r="FX274" s="5">
        <v>0.66877348566584205</v>
      </c>
      <c r="FY274" s="5">
        <v>-0.52299293428660498</v>
      </c>
      <c r="FZ274" s="5">
        <v>0.35196026108830403</v>
      </c>
      <c r="GA274" s="5">
        <v>-9.8352352558050294E-3</v>
      </c>
      <c r="GB274" s="5">
        <v>0.108332989796219</v>
      </c>
      <c r="GC274" s="5">
        <v>5.0184150343505797E-2</v>
      </c>
      <c r="GD274" s="5">
        <v>-0.14472310719957501</v>
      </c>
      <c r="GE274" s="5">
        <v>0.14400305852654199</v>
      </c>
      <c r="GF274" s="5">
        <v>0.49516283352985702</v>
      </c>
      <c r="GG274" s="5">
        <v>-0.29422933404976498</v>
      </c>
      <c r="GH274" s="5">
        <v>-0.39285252340643201</v>
      </c>
      <c r="GI274" s="5">
        <v>0.36521070135594902</v>
      </c>
      <c r="GJ274" s="5">
        <v>0.62652264293139004</v>
      </c>
      <c r="GK274" s="5">
        <v>-0.57395034327769001</v>
      </c>
      <c r="GL274" s="5">
        <v>0.45804634059560501</v>
      </c>
      <c r="GM274" s="5">
        <v>-0.264500793848163</v>
      </c>
      <c r="GN274" s="5">
        <v>0.125845510054341</v>
      </c>
      <c r="GO274" s="5">
        <v>5.2887697001791002E-2</v>
      </c>
      <c r="GP274" s="5">
        <v>0.36368543062640002</v>
      </c>
      <c r="GQ274" s="5">
        <v>-7.0096310867674094E-2</v>
      </c>
      <c r="GR274" s="5">
        <v>0.56574355668821397</v>
      </c>
      <c r="GS274" s="5">
        <v>-0.47400354949811901</v>
      </c>
      <c r="GT274" s="5">
        <v>0.14631679440262299</v>
      </c>
      <c r="GU274" s="5">
        <v>0.16314812623854699</v>
      </c>
      <c r="GV274" s="5">
        <v>0.71201459342001305</v>
      </c>
      <c r="GW274" s="5">
        <v>-0.61042412195164897</v>
      </c>
      <c r="GX274" s="5">
        <v>0.33611023510486099</v>
      </c>
      <c r="GY274" s="5">
        <v>-0.101030223612631</v>
      </c>
      <c r="GZ274" s="5">
        <v>4.5477947154528901E-2</v>
      </c>
      <c r="HA274" s="5">
        <v>-0.105001843630353</v>
      </c>
      <c r="HB274" s="5">
        <v>0.64048163002095804</v>
      </c>
      <c r="HC274" s="5">
        <v>-0.50327113070849205</v>
      </c>
      <c r="HD274" s="5">
        <v>7.1725588693197506E-2</v>
      </c>
      <c r="HE274" s="5">
        <v>0.210115951752604</v>
      </c>
      <c r="HF274" s="5">
        <v>-6.9048098987687906E-2</v>
      </c>
      <c r="HG274" s="5">
        <v>5.3711851655395201E-2</v>
      </c>
      <c r="HH274" s="5">
        <v>6.6457532266348304E-2</v>
      </c>
      <c r="HI274" s="5">
        <v>-4.8040341405980999E-2</v>
      </c>
      <c r="HJ274" s="5">
        <v>-6.7783322220060796E-2</v>
      </c>
      <c r="HK274" s="5">
        <v>3.6920889518385798E-2</v>
      </c>
      <c r="HL274" s="5">
        <v>0.42444643730200299</v>
      </c>
      <c r="HM274" s="5">
        <v>-0.217718220668255</v>
      </c>
      <c r="HN274" s="5">
        <v>8.8841910965317294E-2</v>
      </c>
      <c r="HO274" s="5">
        <v>-8.1424949601895304E-3</v>
      </c>
      <c r="HP274" s="5">
        <v>0.39213456318046602</v>
      </c>
      <c r="HQ274" s="5">
        <v>-0.17251370627623999</v>
      </c>
      <c r="HR274" s="5">
        <v>0.47764522336570803</v>
      </c>
      <c r="HS274" s="5">
        <v>-0.334395591691452</v>
      </c>
      <c r="HT274" s="5">
        <v>0.11384785249896</v>
      </c>
      <c r="HU274" s="5">
        <v>-8.8349910318509493E-3</v>
      </c>
      <c r="HV274" s="5">
        <v>0.43893175117572403</v>
      </c>
      <c r="HW274" s="5">
        <v>-0.22380022569015201</v>
      </c>
      <c r="HX274" s="5">
        <v>0.57088594697663397</v>
      </c>
      <c r="HY274" s="5">
        <v>-0.37573670755665001</v>
      </c>
      <c r="HZ274" s="5">
        <v>5.5469680715382802E-2</v>
      </c>
      <c r="IA274" s="5">
        <v>-3.3676513185813398E-2</v>
      </c>
      <c r="IB274" s="5">
        <v>-0.302048465697135</v>
      </c>
      <c r="IC274" s="5">
        <v>0.29020272012783199</v>
      </c>
      <c r="ID274" s="5">
        <v>0.55142463891453197</v>
      </c>
      <c r="IE274" s="5">
        <v>-0.340681202170661</v>
      </c>
      <c r="IF274" s="5">
        <v>0.46414882069229702</v>
      </c>
      <c r="IG274" s="5">
        <v>-0.21400087404974599</v>
      </c>
      <c r="IH274" s="5">
        <v>0.51858819448279603</v>
      </c>
      <c r="II274" s="5">
        <v>-0.32889944255033998</v>
      </c>
      <c r="IJ274" s="5">
        <v>0.48788157519505398</v>
      </c>
      <c r="IK274" s="5">
        <v>-0.40942965706003498</v>
      </c>
      <c r="IL274" s="5">
        <v>0.48926490737059602</v>
      </c>
      <c r="IM274" s="5">
        <v>-0.274186261024494</v>
      </c>
      <c r="IN274" s="5">
        <v>0.57314369963427003</v>
      </c>
      <c r="IO274" s="5">
        <v>-0.349829205159295</v>
      </c>
      <c r="IP274" s="5">
        <v>0.61959291800064598</v>
      </c>
      <c r="IQ274" s="5">
        <v>-0.37999822583218001</v>
      </c>
      <c r="IR274" s="5">
        <v>9.4337111772796606E-2</v>
      </c>
      <c r="IS274" s="5">
        <v>0.137111072844809</v>
      </c>
      <c r="IT274" s="5">
        <v>0.40975095868353301</v>
      </c>
      <c r="IU274" s="5">
        <v>-0.19781283324184601</v>
      </c>
      <c r="IV274" s="5">
        <v>0.59345066532153001</v>
      </c>
      <c r="IW274" s="5">
        <v>-0.423969735379015</v>
      </c>
      <c r="IX274" s="5">
        <v>0.65337341076034094</v>
      </c>
      <c r="IY274" s="5">
        <v>-0.51660535735137703</v>
      </c>
      <c r="IZ274" s="5">
        <v>0.117303549629449</v>
      </c>
      <c r="JA274" s="5">
        <v>-0.10570936605747699</v>
      </c>
      <c r="JB274" s="5">
        <v>-0.12827094591673999</v>
      </c>
      <c r="JC274" s="5">
        <v>6.43469760566317E-2</v>
      </c>
      <c r="JD274" s="5">
        <v>0.14313579699360901</v>
      </c>
      <c r="JE274" s="5">
        <v>0.19678195750065899</v>
      </c>
      <c r="JF274" s="5">
        <v>0.43664685750282201</v>
      </c>
      <c r="JG274" s="5">
        <v>-0.37062790337490498</v>
      </c>
      <c r="JH274" s="5">
        <v>0.179998833441116</v>
      </c>
      <c r="JI274" s="5">
        <v>-0.13554470957045101</v>
      </c>
      <c r="JJ274" s="5">
        <v>0.48443092921594699</v>
      </c>
      <c r="JK274" s="5">
        <v>-0.170379301109892</v>
      </c>
      <c r="JL274" s="5">
        <v>0.30457698458011701</v>
      </c>
      <c r="JM274" s="5">
        <v>-3.3839018817427201E-2</v>
      </c>
      <c r="JN274" s="5">
        <v>1</v>
      </c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</row>
    <row r="275" spans="1:389" x14ac:dyDescent="0.45">
      <c r="A275" s="4" t="str">
        <f ca="1">"PAN / beta2dist in "&amp;CELL("address",'damages-1990'!$K$138)</f>
        <v>PAN / beta2dist in '[BHM betas v3pd.xlsx]damages-1990'!$K$138</v>
      </c>
      <c r="B275" s="6">
        <v>-4.4320943707207301E-2</v>
      </c>
      <c r="C275" s="5">
        <v>5.25136199443864E-2</v>
      </c>
      <c r="D275" s="5">
        <v>-0.47565254586592898</v>
      </c>
      <c r="E275" s="5">
        <v>0.65496368361348201</v>
      </c>
      <c r="F275" s="5">
        <v>-6.2831758757614098E-2</v>
      </c>
      <c r="G275" s="5">
        <v>8.9454159876256198E-2</v>
      </c>
      <c r="H275" s="5">
        <v>-1.6574044203279702E-2</v>
      </c>
      <c r="I275" s="5">
        <v>-5.5725112724171501E-3</v>
      </c>
      <c r="J275" s="5">
        <v>-0.16292783270246899</v>
      </c>
      <c r="K275" s="5">
        <v>0.24164024438939599</v>
      </c>
      <c r="L275" s="5">
        <v>-2.6494345358679399E-3</v>
      </c>
      <c r="M275" s="5">
        <v>-3.64860192677584E-2</v>
      </c>
      <c r="N275" s="5">
        <v>-0.13891392048020201</v>
      </c>
      <c r="O275" s="5">
        <v>0.17521421989515201</v>
      </c>
      <c r="P275" s="5">
        <v>-0.47572282585397002</v>
      </c>
      <c r="Q275" s="5">
        <v>0.53522311076020301</v>
      </c>
      <c r="R275" s="5">
        <v>-0.33645295801571701</v>
      </c>
      <c r="S275" s="5">
        <v>0.53819964948487398</v>
      </c>
      <c r="T275" s="5">
        <v>-0.179984717774308</v>
      </c>
      <c r="U275" s="5">
        <v>0.21232604487071399</v>
      </c>
      <c r="V275" s="5">
        <v>4.4834201168224501E-2</v>
      </c>
      <c r="W275" s="5">
        <v>-0.118407401782519</v>
      </c>
      <c r="X275" s="5">
        <v>-0.49799455445621599</v>
      </c>
      <c r="Y275" s="5">
        <v>0.64203753949359899</v>
      </c>
      <c r="Z275" s="5">
        <v>-0.13869370897167099</v>
      </c>
      <c r="AA275" s="5">
        <v>0.186961762610723</v>
      </c>
      <c r="AB275" s="5">
        <v>-0.52786169798916105</v>
      </c>
      <c r="AC275" s="5">
        <v>0.69315408297949699</v>
      </c>
      <c r="AD275" s="5">
        <v>-0.42142151390159599</v>
      </c>
      <c r="AE275" s="5">
        <v>0.56252223435684001</v>
      </c>
      <c r="AF275" s="5">
        <v>2.7937803117909301E-2</v>
      </c>
      <c r="AG275" s="5">
        <v>5.6184504471983997E-2</v>
      </c>
      <c r="AH275" s="5">
        <v>-9.4913114012671704E-2</v>
      </c>
      <c r="AI275" s="5">
        <v>0.13106584045385</v>
      </c>
      <c r="AJ275" s="5">
        <v>-0.14836625329672001</v>
      </c>
      <c r="AK275" s="5">
        <v>0.192300419727058</v>
      </c>
      <c r="AL275" s="5">
        <v>-0.15596239558063699</v>
      </c>
      <c r="AM275" s="5">
        <v>0.222802080350927</v>
      </c>
      <c r="AN275" s="5">
        <v>-0.14355335481967099</v>
      </c>
      <c r="AO275" s="5">
        <v>0.18197076465873299</v>
      </c>
      <c r="AP275" s="5">
        <v>-0.1025788870904</v>
      </c>
      <c r="AQ275" s="5">
        <v>0.13225797154871699</v>
      </c>
      <c r="AR275" s="5">
        <v>-0.359819526107307</v>
      </c>
      <c r="AS275" s="5">
        <v>0.528510479708445</v>
      </c>
      <c r="AT275" s="5">
        <v>6.0102915222867002E-2</v>
      </c>
      <c r="AU275" s="5">
        <v>-7.2420903711561693E-2</v>
      </c>
      <c r="AV275" s="5">
        <v>-0.313352938806995</v>
      </c>
      <c r="AW275" s="5">
        <v>0.58360619087329502</v>
      </c>
      <c r="AX275" s="5">
        <v>-0.43211839763728499</v>
      </c>
      <c r="AY275" s="5">
        <v>0.74336884574061701</v>
      </c>
      <c r="AZ275" s="5">
        <v>-0.39633866362906101</v>
      </c>
      <c r="BA275" s="5">
        <v>0.45816360416527602</v>
      </c>
      <c r="BB275" s="5">
        <v>-0.290007763174227</v>
      </c>
      <c r="BC275" s="5">
        <v>0.40825334810944303</v>
      </c>
      <c r="BD275" s="5">
        <v>-4.1997878304559498E-2</v>
      </c>
      <c r="BE275" s="5">
        <v>5.2311437562956302E-2</v>
      </c>
      <c r="BF275" s="5">
        <v>-0.38211544328402403</v>
      </c>
      <c r="BG275" s="5">
        <v>0.50489563314389596</v>
      </c>
      <c r="BH275" s="5">
        <v>-0.46569588796797301</v>
      </c>
      <c r="BI275" s="5">
        <v>0.66428054038004303</v>
      </c>
      <c r="BJ275" s="5">
        <v>7.0995363046391396E-2</v>
      </c>
      <c r="BK275" s="5">
        <v>-0.22695566556975799</v>
      </c>
      <c r="BL275" s="5">
        <v>-0.22828265895053301</v>
      </c>
      <c r="BM275" s="5">
        <v>0.26634100244195602</v>
      </c>
      <c r="BN275" s="5">
        <v>8.2095036631124094E-2</v>
      </c>
      <c r="BO275" s="5">
        <v>-0.14215182933468601</v>
      </c>
      <c r="BP275" s="5">
        <v>8.9411947886144497E-2</v>
      </c>
      <c r="BQ275" s="5">
        <v>-0.23154270016582101</v>
      </c>
      <c r="BR275" s="5">
        <v>-0.56050582086630796</v>
      </c>
      <c r="BS275" s="5">
        <v>0.70745533849277398</v>
      </c>
      <c r="BT275" s="5">
        <v>-0.45201105740234399</v>
      </c>
      <c r="BU275" s="5">
        <v>0.70230291862004901</v>
      </c>
      <c r="BV275" s="5">
        <v>-0.51603103046138199</v>
      </c>
      <c r="BW275" s="5">
        <v>0.71747961640790603</v>
      </c>
      <c r="BX275" s="5">
        <v>-0.53652515347609397</v>
      </c>
      <c r="BY275" s="5">
        <v>0.76275901364904497</v>
      </c>
      <c r="BZ275" s="5">
        <v>-0.52489225567303499</v>
      </c>
      <c r="CA275" s="5">
        <v>0.74894699616452998</v>
      </c>
      <c r="CB275" s="5">
        <v>-0.45907263104773799</v>
      </c>
      <c r="CC275" s="5">
        <v>0.63153771730184205</v>
      </c>
      <c r="CD275" s="5">
        <v>-0.13864416631245799</v>
      </c>
      <c r="CE275" s="5">
        <v>0.167082622570984</v>
      </c>
      <c r="CF275" s="5">
        <v>-0.60535904433898702</v>
      </c>
      <c r="CG275" s="5">
        <v>0.71689690218937197</v>
      </c>
      <c r="CH275" s="5">
        <v>-0.16393320145388801</v>
      </c>
      <c r="CI275" s="5">
        <v>0.25119343230007801</v>
      </c>
      <c r="CJ275" s="5">
        <v>0.114484746427893</v>
      </c>
      <c r="CK275" s="5">
        <v>-8.2823644759489098E-2</v>
      </c>
      <c r="CL275" s="5">
        <v>-0.13312452853941401</v>
      </c>
      <c r="CM275" s="5">
        <v>0.16312910918378101</v>
      </c>
      <c r="CN275" s="5">
        <v>-0.136441191673396</v>
      </c>
      <c r="CO275" s="5">
        <v>0.17135206102561201</v>
      </c>
      <c r="CP275" s="5">
        <v>-0.29718742863346198</v>
      </c>
      <c r="CQ275" s="5">
        <v>0.36931318949535202</v>
      </c>
      <c r="CR275" s="5">
        <v>-0.48549046843519</v>
      </c>
      <c r="CS275" s="5">
        <v>0.54348100295319901</v>
      </c>
      <c r="CT275" s="5">
        <v>-0.147590455110194</v>
      </c>
      <c r="CU275" s="5">
        <v>0.17889318005876401</v>
      </c>
      <c r="CV275" s="5">
        <v>-0.58744809289222499</v>
      </c>
      <c r="CW275" s="5">
        <v>0.67283408413686996</v>
      </c>
      <c r="CX275" s="5">
        <v>-0.25524199795085001</v>
      </c>
      <c r="CY275" s="5">
        <v>0.384527454583731</v>
      </c>
      <c r="CZ275" s="5">
        <v>-0.597446928943694</v>
      </c>
      <c r="DA275" s="5">
        <v>0.80914774248340904</v>
      </c>
      <c r="DB275" s="5">
        <v>-8.0411149523342801E-2</v>
      </c>
      <c r="DC275" s="5">
        <v>8.6561421707761502E-2</v>
      </c>
      <c r="DD275" s="5">
        <v>-0.23057426208634699</v>
      </c>
      <c r="DE275" s="5">
        <v>0.33970418449513401</v>
      </c>
      <c r="DF275" s="5">
        <v>-0.201346998631841</v>
      </c>
      <c r="DG275" s="5">
        <v>0.29410720009658597</v>
      </c>
      <c r="DH275" s="5">
        <v>-0.159752053650734</v>
      </c>
      <c r="DI275" s="5">
        <v>0.26773694114257302</v>
      </c>
      <c r="DJ275" s="5">
        <v>-8.7562394019161396E-2</v>
      </c>
      <c r="DK275" s="5">
        <v>0.118961407490876</v>
      </c>
      <c r="DL275" s="5">
        <v>-0.29334099222754201</v>
      </c>
      <c r="DM275" s="5">
        <v>0.444620254273844</v>
      </c>
      <c r="DN275" s="5">
        <v>-4.1885681414404102E-2</v>
      </c>
      <c r="DO275" s="5">
        <v>4.2726751253280397E-2</v>
      </c>
      <c r="DP275" s="5">
        <v>0.166044321958493</v>
      </c>
      <c r="DQ275" s="5">
        <v>-0.20802571838731401</v>
      </c>
      <c r="DR275" s="5">
        <v>-0.11949797956814399</v>
      </c>
      <c r="DS275" s="5">
        <v>0.179607412644089</v>
      </c>
      <c r="DT275" s="5">
        <v>-0.176539408794678</v>
      </c>
      <c r="DU275" s="5">
        <v>0.18584535966044799</v>
      </c>
      <c r="DV275" s="5">
        <v>-0.550688728334637</v>
      </c>
      <c r="DW275" s="5">
        <v>0.73959124524680098</v>
      </c>
      <c r="DX275" s="5">
        <v>-3.5133915068983397E-2</v>
      </c>
      <c r="DY275" s="5">
        <v>4.4196484904322902E-2</v>
      </c>
      <c r="DZ275" s="5">
        <v>-0.17119382584397899</v>
      </c>
      <c r="EA275" s="5">
        <v>0.25198258697097597</v>
      </c>
      <c r="EB275" s="5">
        <v>-0.58174155535215399</v>
      </c>
      <c r="EC275" s="5">
        <v>0.72739413062530001</v>
      </c>
      <c r="ED275" s="5">
        <v>-0.50633549139613998</v>
      </c>
      <c r="EE275" s="5">
        <v>0.646862389777074</v>
      </c>
      <c r="EF275" s="5">
        <v>-0.50091894393717395</v>
      </c>
      <c r="EG275" s="5">
        <v>0.54746936214171005</v>
      </c>
      <c r="EH275" s="5">
        <v>-0.37475672506144703</v>
      </c>
      <c r="EI275" s="5">
        <v>0.51028548613922398</v>
      </c>
      <c r="EJ275" s="5">
        <v>-0.39373294241092399</v>
      </c>
      <c r="EK275" s="5">
        <v>0.54193670811994399</v>
      </c>
      <c r="EL275" s="5">
        <v>-0.52641720674484405</v>
      </c>
      <c r="EM275" s="5">
        <v>0.728011670479356</v>
      </c>
      <c r="EN275" s="5">
        <v>5.5328625251523197E-2</v>
      </c>
      <c r="EO275" s="5">
        <v>-5.0839465805243303E-2</v>
      </c>
      <c r="EP275" s="5">
        <v>-0.45092599731201399</v>
      </c>
      <c r="EQ275" s="5">
        <v>0.53366594897101105</v>
      </c>
      <c r="ER275" s="5">
        <v>-0.36061497025991401</v>
      </c>
      <c r="ES275" s="5">
        <v>0.55372125149248996</v>
      </c>
      <c r="ET275" s="5">
        <v>-0.422467662337419</v>
      </c>
      <c r="EU275" s="5">
        <v>0.67670738367051297</v>
      </c>
      <c r="EV275" s="5">
        <v>-0.43761564503681999</v>
      </c>
      <c r="EW275" s="5">
        <v>0.70001650993346698</v>
      </c>
      <c r="EX275" s="5">
        <v>-4.0911980395329797E-2</v>
      </c>
      <c r="EY275" s="5">
        <v>0.215619281824322</v>
      </c>
      <c r="EZ275" s="5">
        <v>-0.39086869737535801</v>
      </c>
      <c r="FA275" s="5">
        <v>0.58505413987285804</v>
      </c>
      <c r="FB275" s="5">
        <v>-0.121699081916604</v>
      </c>
      <c r="FC275" s="5">
        <v>0.163814231965483</v>
      </c>
      <c r="FD275" s="5">
        <v>-0.51031007503653403</v>
      </c>
      <c r="FE275" s="5">
        <v>0.63983746935341301</v>
      </c>
      <c r="FF275" s="5">
        <v>-9.2151502720533907E-2</v>
      </c>
      <c r="FG275" s="5">
        <v>0.118658022786866</v>
      </c>
      <c r="FH275" s="5">
        <v>-0.11074068780390001</v>
      </c>
      <c r="FI275" s="5">
        <v>0.20138869526127201</v>
      </c>
      <c r="FJ275" s="5">
        <v>-0.21698035933887699</v>
      </c>
      <c r="FK275" s="5">
        <v>0.29668519240472102</v>
      </c>
      <c r="FL275" s="5">
        <v>0.15294592712410399</v>
      </c>
      <c r="FM275" s="5">
        <v>-0.18595540168651301</v>
      </c>
      <c r="FN275" s="5">
        <v>-6.4705622176032193E-2</v>
      </c>
      <c r="FO275" s="5">
        <v>6.4005150064455299E-2</v>
      </c>
      <c r="FP275" s="5">
        <v>-5.0335188585783397E-2</v>
      </c>
      <c r="FQ275" s="5">
        <v>2.9842125103550901E-2</v>
      </c>
      <c r="FR275" s="5">
        <v>0.16432726026327801</v>
      </c>
      <c r="FS275" s="5">
        <v>-0.16438912550807599</v>
      </c>
      <c r="FT275" s="5">
        <v>-4.2536475102237098E-2</v>
      </c>
      <c r="FU275" s="5">
        <v>4.5649237756337599E-2</v>
      </c>
      <c r="FV275" s="5">
        <v>-8.9158246643988304E-2</v>
      </c>
      <c r="FW275" s="5">
        <v>0.136099900558148</v>
      </c>
      <c r="FX275" s="5">
        <v>-0.50445643530996298</v>
      </c>
      <c r="FY275" s="5">
        <v>0.63259178624870605</v>
      </c>
      <c r="FZ275" s="5">
        <v>-9.2088883374074199E-2</v>
      </c>
      <c r="GA275" s="5">
        <v>9.1637930749161503E-2</v>
      </c>
      <c r="GB275" s="5">
        <v>-8.7578505958351302E-2</v>
      </c>
      <c r="GC275" s="5">
        <v>0.12920202062606201</v>
      </c>
      <c r="GD275" s="5">
        <v>2.26346178153457E-2</v>
      </c>
      <c r="GE275" s="5">
        <v>-1.8359777814071599E-2</v>
      </c>
      <c r="GF275" s="5">
        <v>-0.27910344994076303</v>
      </c>
      <c r="GG275" s="5">
        <v>0.46426524010738102</v>
      </c>
      <c r="GH275" s="5">
        <v>0.316883944617257</v>
      </c>
      <c r="GI275" s="5">
        <v>-0.42786077236994802</v>
      </c>
      <c r="GJ275" s="5">
        <v>-0.35208947638525601</v>
      </c>
      <c r="GK275" s="5">
        <v>0.59905178524195202</v>
      </c>
      <c r="GL275" s="5">
        <v>-0.45376474167062902</v>
      </c>
      <c r="GM275" s="5">
        <v>0.480890031518308</v>
      </c>
      <c r="GN275" s="5">
        <v>-6.9026702768989798E-2</v>
      </c>
      <c r="GO275" s="5">
        <v>0.114541236878277</v>
      </c>
      <c r="GP275" s="5">
        <v>-0.14211474139135399</v>
      </c>
      <c r="GQ275" s="5">
        <v>0.17185909697562601</v>
      </c>
      <c r="GR275" s="5">
        <v>-0.31619111453819798</v>
      </c>
      <c r="GS275" s="5">
        <v>0.53475226529126896</v>
      </c>
      <c r="GT275" s="5">
        <v>4.0809020633014399E-2</v>
      </c>
      <c r="GU275" s="5">
        <v>-9.6556327652731602E-2</v>
      </c>
      <c r="GV275" s="5">
        <v>-0.56587640077975798</v>
      </c>
      <c r="GW275" s="5">
        <v>0.79311633462860798</v>
      </c>
      <c r="GX275" s="5">
        <v>-0.106034334967579</v>
      </c>
      <c r="GY275" s="5">
        <v>0.16980843603427401</v>
      </c>
      <c r="GZ275" s="5">
        <v>-0.21622824770044399</v>
      </c>
      <c r="HA275" s="5">
        <v>0.24860479904663199</v>
      </c>
      <c r="HB275" s="5">
        <v>-0.38092786534779199</v>
      </c>
      <c r="HC275" s="5">
        <v>0.59664694213644598</v>
      </c>
      <c r="HD275" s="5">
        <v>-5.62257486783833E-2</v>
      </c>
      <c r="HE275" s="5">
        <v>8.8334119379744905E-2</v>
      </c>
      <c r="HF275" s="5">
        <v>-8.3465273353465E-2</v>
      </c>
      <c r="HG275" s="5">
        <v>0.10658612121743601</v>
      </c>
      <c r="HH275" s="5">
        <v>-0.140013255853257</v>
      </c>
      <c r="HI275" s="5">
        <v>0.17933290326302501</v>
      </c>
      <c r="HJ275" s="5">
        <v>-9.7788347449554794E-2</v>
      </c>
      <c r="HK275" s="5">
        <v>0.12629569923487599</v>
      </c>
      <c r="HL275" s="5">
        <v>-0.25446979299501499</v>
      </c>
      <c r="HM275" s="5">
        <v>0.391902269785529</v>
      </c>
      <c r="HN275" s="5">
        <v>-9.1223517645105404E-2</v>
      </c>
      <c r="HO275" s="5">
        <v>0.13309678246673901</v>
      </c>
      <c r="HP275" s="5">
        <v>-3.0385079382690802E-2</v>
      </c>
      <c r="HQ275" s="5">
        <v>0.18171192678074899</v>
      </c>
      <c r="HR275" s="5">
        <v>-0.18382171864539901</v>
      </c>
      <c r="HS275" s="5">
        <v>0.39533245769564201</v>
      </c>
      <c r="HT275" s="5">
        <v>-0.111214932824556</v>
      </c>
      <c r="HU275" s="5">
        <v>0.15284399904337501</v>
      </c>
      <c r="HV275" s="5">
        <v>-0.28067103162490797</v>
      </c>
      <c r="HW275" s="5">
        <v>0.42692060219582001</v>
      </c>
      <c r="HX275" s="5">
        <v>-0.31078124140483698</v>
      </c>
      <c r="HY275" s="5">
        <v>0.49655826514094897</v>
      </c>
      <c r="HZ275" s="5">
        <v>-0.14050169492266601</v>
      </c>
      <c r="IA275" s="5">
        <v>0.180135144341559</v>
      </c>
      <c r="IB275" s="5">
        <v>0.24396121244973101</v>
      </c>
      <c r="IC275" s="5">
        <v>-0.31568027056088899</v>
      </c>
      <c r="ID275" s="5">
        <v>-0.23170189111921199</v>
      </c>
      <c r="IE275" s="5">
        <v>0.409189727416292</v>
      </c>
      <c r="IF275" s="5">
        <v>-0.26535023327428597</v>
      </c>
      <c r="IG275" s="5">
        <v>0.39009695232911801</v>
      </c>
      <c r="IH275" s="5">
        <v>-0.48593439887344703</v>
      </c>
      <c r="II275" s="5">
        <v>0.54979430187512002</v>
      </c>
      <c r="IJ275" s="5">
        <v>-0.35929543256948399</v>
      </c>
      <c r="IK275" s="5">
        <v>0.44291544455902199</v>
      </c>
      <c r="IL275" s="5">
        <v>-0.14633779994875701</v>
      </c>
      <c r="IM275" s="5">
        <v>0.29277607615069301</v>
      </c>
      <c r="IN275" s="5">
        <v>-0.27227446239266201</v>
      </c>
      <c r="IO275" s="5">
        <v>0.420441275220442</v>
      </c>
      <c r="IP275" s="5">
        <v>-0.43553241795799003</v>
      </c>
      <c r="IQ275" s="5">
        <v>0.57505976155741001</v>
      </c>
      <c r="IR275" s="5">
        <v>0.105439408956175</v>
      </c>
      <c r="IS275" s="5">
        <v>-0.12069453473432901</v>
      </c>
      <c r="IT275" s="5">
        <v>-0.22789160897646099</v>
      </c>
      <c r="IU275" s="5">
        <v>0.37237751310727502</v>
      </c>
      <c r="IV275" s="5">
        <v>-0.48310561182053002</v>
      </c>
      <c r="IW275" s="5">
        <v>0.65390189539525501</v>
      </c>
      <c r="IX275" s="5">
        <v>-0.507682386222295</v>
      </c>
      <c r="IY275" s="5">
        <v>0.70378956942582005</v>
      </c>
      <c r="IZ275" s="5">
        <v>-0.17568951049166501</v>
      </c>
      <c r="JA275" s="5">
        <v>0.22341517065748301</v>
      </c>
      <c r="JB275" s="5">
        <v>-9.7858071114823295E-2</v>
      </c>
      <c r="JC275" s="5">
        <v>0.10775137316354701</v>
      </c>
      <c r="JD275" s="5">
        <v>-2.9304993950143601E-2</v>
      </c>
      <c r="JE275" s="5">
        <v>4.3930327369016697E-2</v>
      </c>
      <c r="JF275" s="5">
        <v>-0.30775885514460799</v>
      </c>
      <c r="JG275" s="5">
        <v>0.44227720274152998</v>
      </c>
      <c r="JH275" s="5">
        <v>-0.16167411371662199</v>
      </c>
      <c r="JI275" s="5">
        <v>0.19653762709810299</v>
      </c>
      <c r="JJ275" s="5">
        <v>-0.25513456108397797</v>
      </c>
      <c r="JK275" s="5">
        <v>0.35139419142352302</v>
      </c>
      <c r="JL275" s="5">
        <v>-0.12639509296234799</v>
      </c>
      <c r="JM275" s="5">
        <v>0.21741625708112</v>
      </c>
      <c r="JN275" s="5">
        <v>-0.84362657034831001</v>
      </c>
      <c r="JO275" s="5">
        <v>1</v>
      </c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</row>
    <row r="276" spans="1:389" x14ac:dyDescent="0.45">
      <c r="A276" s="4" t="str">
        <f ca="1">"PER / beta1dist in "&amp;CELL("address",'damages-1990'!$J$139)</f>
        <v>PER / beta1dist in '[BHM betas v3pd.xlsx]damages-1990'!$J$139</v>
      </c>
      <c r="B276" s="6">
        <v>0.301435243851844</v>
      </c>
      <c r="C276" s="5">
        <v>0.19883164390663999</v>
      </c>
      <c r="D276" s="5">
        <v>0.62294851500390602</v>
      </c>
      <c r="E276" s="5">
        <v>-0.25417063730238498</v>
      </c>
      <c r="F276" s="5">
        <v>0.244319361302618</v>
      </c>
      <c r="G276" s="5">
        <v>0.107196852690103</v>
      </c>
      <c r="H276" s="5">
        <v>-0.201596862705513</v>
      </c>
      <c r="I276" s="5">
        <v>0.21244222229578899</v>
      </c>
      <c r="J276" s="5">
        <v>0.52501182230661103</v>
      </c>
      <c r="K276" s="5">
        <v>-0.107782719575122</v>
      </c>
      <c r="L276" s="5">
        <v>0.43884256396980797</v>
      </c>
      <c r="M276" s="5">
        <v>-1.2451557277077601E-2</v>
      </c>
      <c r="N276" s="5">
        <v>8.89827717245288E-2</v>
      </c>
      <c r="O276" s="5">
        <v>-3.4471513990901599E-2</v>
      </c>
      <c r="P276" s="5">
        <v>0.41108887785825199</v>
      </c>
      <c r="Q276" s="5">
        <v>-0.19862797147255601</v>
      </c>
      <c r="R276" s="5">
        <v>0.62740783687108903</v>
      </c>
      <c r="S276" s="5">
        <v>-0.26431319173050599</v>
      </c>
      <c r="T276" s="5">
        <v>-0.102693966087737</v>
      </c>
      <c r="U276" s="5">
        <v>0.14364553813460701</v>
      </c>
      <c r="V276" s="5">
        <v>0.29393096684264902</v>
      </c>
      <c r="W276" s="5">
        <v>0.21417400348304599</v>
      </c>
      <c r="X276" s="5">
        <v>0.65992039110755396</v>
      </c>
      <c r="Y276" s="5">
        <v>-0.266405202322958</v>
      </c>
      <c r="Z276" s="5">
        <v>3.6682651924446197E-2</v>
      </c>
      <c r="AA276" s="5">
        <v>0.130143274781748</v>
      </c>
      <c r="AB276" s="5">
        <v>0.56063023785335697</v>
      </c>
      <c r="AC276" s="5">
        <v>-0.32486092809384298</v>
      </c>
      <c r="AD276" s="5">
        <v>0.44815112214486003</v>
      </c>
      <c r="AE276" s="5">
        <v>-0.17175218527793601</v>
      </c>
      <c r="AF276" s="5">
        <v>0.47641153198323</v>
      </c>
      <c r="AG276" s="5">
        <v>-0.137320112754829</v>
      </c>
      <c r="AH276" s="5">
        <v>0.178743933180256</v>
      </c>
      <c r="AI276" s="5">
        <v>0.119293951105233</v>
      </c>
      <c r="AJ276" s="5">
        <v>0.52636224238757401</v>
      </c>
      <c r="AK276" s="5">
        <v>-8.8706833519161296E-2</v>
      </c>
      <c r="AL276" s="5">
        <v>0.47068154172636201</v>
      </c>
      <c r="AM276" s="5">
        <v>-0.24125358908974001</v>
      </c>
      <c r="AN276" s="5">
        <v>7.5728073432991996E-2</v>
      </c>
      <c r="AO276" s="5">
        <v>0.109218026720003</v>
      </c>
      <c r="AP276" s="5">
        <v>-0.111463775781421</v>
      </c>
      <c r="AQ276" s="5">
        <v>0.142201528987178</v>
      </c>
      <c r="AR276" s="5">
        <v>0.57488077375014701</v>
      </c>
      <c r="AS276" s="5">
        <v>-0.29900388733677302</v>
      </c>
      <c r="AT276" s="5">
        <v>0.32041819166684798</v>
      </c>
      <c r="AU276" s="5">
        <v>-2.9649520970106698E-2</v>
      </c>
      <c r="AV276" s="5">
        <v>0.75450643997390199</v>
      </c>
      <c r="AW276" s="5">
        <v>-0.43778183318588199</v>
      </c>
      <c r="AX276" s="5">
        <v>0.75255921992224195</v>
      </c>
      <c r="AY276" s="5">
        <v>-0.452362437558463</v>
      </c>
      <c r="AZ276" s="5">
        <v>0.40860060838011902</v>
      </c>
      <c r="BA276" s="5">
        <v>-0.20875986898638599</v>
      </c>
      <c r="BB276" s="5">
        <v>0.55286864381871803</v>
      </c>
      <c r="BC276" s="5">
        <v>-0.154494760415719</v>
      </c>
      <c r="BD276" s="5">
        <v>0.12554323660830399</v>
      </c>
      <c r="BE276" s="5">
        <v>0.363109530013219</v>
      </c>
      <c r="BF276" s="5">
        <v>0.44908962010683101</v>
      </c>
      <c r="BG276" s="5">
        <v>-0.10655290802324401</v>
      </c>
      <c r="BH276" s="5">
        <v>0.66612955116281503</v>
      </c>
      <c r="BI276" s="5">
        <v>-0.35251965575718502</v>
      </c>
      <c r="BJ276" s="5">
        <v>-0.40271538429884601</v>
      </c>
      <c r="BK276" s="5">
        <v>0.327662673434086</v>
      </c>
      <c r="BL276" s="5">
        <v>-0.110818824851218</v>
      </c>
      <c r="BM276" s="5">
        <v>0.11682449355912</v>
      </c>
      <c r="BN276" s="5">
        <v>-4.3330138701241798E-2</v>
      </c>
      <c r="BO276" s="5">
        <v>0.23744276147594201</v>
      </c>
      <c r="BP276" s="5">
        <v>-0.15683405795453401</v>
      </c>
      <c r="BQ276" s="5">
        <v>0.40575101069474701</v>
      </c>
      <c r="BR276" s="5">
        <v>0.51213021695447702</v>
      </c>
      <c r="BS276" s="5">
        <v>-0.25719130665671602</v>
      </c>
      <c r="BT276" s="5">
        <v>0.666067778798759</v>
      </c>
      <c r="BU276" s="5">
        <v>-0.35202809386720502</v>
      </c>
      <c r="BV276" s="5">
        <v>0.65457707145134003</v>
      </c>
      <c r="BW276" s="5">
        <v>-0.31628110304956197</v>
      </c>
      <c r="BX276" s="5">
        <v>0.63516565927023505</v>
      </c>
      <c r="BY276" s="5">
        <v>-0.374552750953068</v>
      </c>
      <c r="BZ276" s="5">
        <v>0.78029119812730996</v>
      </c>
      <c r="CA276" s="5">
        <v>-0.49530709631382103</v>
      </c>
      <c r="CB276" s="5">
        <v>0.61092303398206405</v>
      </c>
      <c r="CC276" s="5">
        <v>-0.38506354510001201</v>
      </c>
      <c r="CD276" s="5">
        <v>0.28124198043445497</v>
      </c>
      <c r="CE276" s="5">
        <v>-1.9000693636096001E-2</v>
      </c>
      <c r="CF276" s="5">
        <v>0.655601645972401</v>
      </c>
      <c r="CG276" s="5">
        <v>-0.417817016604001</v>
      </c>
      <c r="CH276" s="5">
        <v>0.43029023258767701</v>
      </c>
      <c r="CI276" s="5">
        <v>-0.24020790200393699</v>
      </c>
      <c r="CJ276" s="5">
        <v>0.38568667197790801</v>
      </c>
      <c r="CK276" s="5">
        <v>-7.1193646161113594E-2</v>
      </c>
      <c r="CL276" s="5">
        <v>-5.0517720125273002E-2</v>
      </c>
      <c r="CM276" s="5">
        <v>0.148432791974839</v>
      </c>
      <c r="CN276" s="5">
        <v>-9.7234114103256202E-3</v>
      </c>
      <c r="CO276" s="5">
        <v>0.14262129072751401</v>
      </c>
      <c r="CP276" s="5">
        <v>0.46126922992242297</v>
      </c>
      <c r="CQ276" s="5">
        <v>-0.198448220605669</v>
      </c>
      <c r="CR276" s="5">
        <v>0.43332587194024802</v>
      </c>
      <c r="CS276" s="5">
        <v>-0.207890058368433</v>
      </c>
      <c r="CT276" s="5">
        <v>-4.4044224182250499E-2</v>
      </c>
      <c r="CU276" s="5">
        <v>9.0132996525599293E-2</v>
      </c>
      <c r="CV276" s="5">
        <v>0.39532886991468102</v>
      </c>
      <c r="CW276" s="5">
        <v>-0.146055467756179</v>
      </c>
      <c r="CX276" s="5">
        <v>0.54487800957592503</v>
      </c>
      <c r="CY276" s="5">
        <v>-0.159837792405254</v>
      </c>
      <c r="CZ276" s="5">
        <v>0.80508780494498899</v>
      </c>
      <c r="DA276" s="5">
        <v>-0.50764447079323904</v>
      </c>
      <c r="DB276" s="5">
        <v>0.52479975060122297</v>
      </c>
      <c r="DC276" s="5">
        <v>-2.1737365397126E-2</v>
      </c>
      <c r="DD276" s="5">
        <v>0.38619148978305301</v>
      </c>
      <c r="DE276" s="5">
        <v>-9.7028183121463593E-2</v>
      </c>
      <c r="DF276" s="5">
        <v>0.53601732721433604</v>
      </c>
      <c r="DG276" s="5">
        <v>-0.212132548606771</v>
      </c>
      <c r="DH276" s="5">
        <v>0.41478616021294001</v>
      </c>
      <c r="DI276" s="5">
        <v>-4.0520599597776097E-2</v>
      </c>
      <c r="DJ276" s="5">
        <v>-0.18696058185599901</v>
      </c>
      <c r="DK276" s="5">
        <v>0.17925535099074</v>
      </c>
      <c r="DL276" s="5">
        <v>0.58386794437057898</v>
      </c>
      <c r="DM276" s="5">
        <v>-0.23056503277545501</v>
      </c>
      <c r="DN276" s="5">
        <v>-0.28898733174906499</v>
      </c>
      <c r="DO276" s="5">
        <v>0.22013473071501699</v>
      </c>
      <c r="DP276" s="5">
        <v>0.276210880145705</v>
      </c>
      <c r="DQ276" s="5">
        <v>7.4787416121907799E-2</v>
      </c>
      <c r="DR276" s="5">
        <v>0.16278582689739701</v>
      </c>
      <c r="DS276" s="5">
        <v>0.105975519093909</v>
      </c>
      <c r="DT276" s="5">
        <v>0.42801090702318201</v>
      </c>
      <c r="DU276" s="5">
        <v>-0.22981764647396599</v>
      </c>
      <c r="DV276" s="5">
        <v>0.518755516546197</v>
      </c>
      <c r="DW276" s="5">
        <v>-0.30022002678718102</v>
      </c>
      <c r="DX276" s="5">
        <v>-0.12664274516827401</v>
      </c>
      <c r="DY276" s="5">
        <v>0.21608191499386201</v>
      </c>
      <c r="DZ276" s="5">
        <v>8.68829452333469E-2</v>
      </c>
      <c r="EA276" s="5">
        <v>-1.3376109279163001E-2</v>
      </c>
      <c r="EB276" s="5">
        <v>0.58953462991516203</v>
      </c>
      <c r="EC276" s="5">
        <v>-0.30716038855056299</v>
      </c>
      <c r="ED276" s="5">
        <v>0.57875461868346301</v>
      </c>
      <c r="EE276" s="5">
        <v>-0.25516662207076801</v>
      </c>
      <c r="EF276" s="5">
        <v>0.41101942608558101</v>
      </c>
      <c r="EG276" s="5">
        <v>-0.19611243027151401</v>
      </c>
      <c r="EH276" s="5">
        <v>0.53961127609996795</v>
      </c>
      <c r="EI276" s="5">
        <v>-0.17693570940319001</v>
      </c>
      <c r="EJ276" s="5">
        <v>0.54785710134951005</v>
      </c>
      <c r="EK276" s="5">
        <v>-0.18725123745664601</v>
      </c>
      <c r="EL276" s="5">
        <v>0.77158740823323602</v>
      </c>
      <c r="EM276" s="5">
        <v>-0.51647950217988803</v>
      </c>
      <c r="EN276" s="5">
        <v>0.34038346277714499</v>
      </c>
      <c r="EO276" s="5">
        <v>2.1656408720831199E-2</v>
      </c>
      <c r="EP276" s="5">
        <v>0.40384350644679701</v>
      </c>
      <c r="EQ276" s="5">
        <v>-0.19757656524344699</v>
      </c>
      <c r="ER276" s="5">
        <v>0.575452029488977</v>
      </c>
      <c r="ES276" s="5">
        <v>-0.25239422590995703</v>
      </c>
      <c r="ET276" s="5">
        <v>0.57539740788354099</v>
      </c>
      <c r="EU276" s="5">
        <v>-0.34388309425824198</v>
      </c>
      <c r="EV276" s="5">
        <v>0.65018464096219497</v>
      </c>
      <c r="EW276" s="5">
        <v>-0.408316397279676</v>
      </c>
      <c r="EX276" s="5">
        <v>0.53001678489070603</v>
      </c>
      <c r="EY276" s="5">
        <v>-0.29431215514306902</v>
      </c>
      <c r="EZ276" s="5">
        <v>0.54626810520332103</v>
      </c>
      <c r="FA276" s="5">
        <v>-0.23751680216815299</v>
      </c>
      <c r="FB276" s="5">
        <v>0.222720124916825</v>
      </c>
      <c r="FC276" s="5">
        <v>5.8295763500251098E-2</v>
      </c>
      <c r="FD276" s="5">
        <v>0.46399326385239698</v>
      </c>
      <c r="FE276" s="5">
        <v>-0.21417915350344199</v>
      </c>
      <c r="FF276" s="5">
        <v>0.16129907653217401</v>
      </c>
      <c r="FG276" s="5">
        <v>7.5177413911979907E-2</v>
      </c>
      <c r="FH276" s="5">
        <v>0.59038374832304896</v>
      </c>
      <c r="FI276" s="5">
        <v>-0.32450047234673002</v>
      </c>
      <c r="FJ276" s="5">
        <v>0.53331601757731295</v>
      </c>
      <c r="FK276" s="5">
        <v>-7.3005505749955596E-2</v>
      </c>
      <c r="FL276" s="5">
        <v>-0.133333925547197</v>
      </c>
      <c r="FM276" s="5">
        <v>0.250242663793875</v>
      </c>
      <c r="FN276" s="5">
        <v>0.36127308359487897</v>
      </c>
      <c r="FO276" s="5">
        <v>0.121252367393439</v>
      </c>
      <c r="FP276" s="5">
        <v>0.46891363045009998</v>
      </c>
      <c r="FQ276" s="5">
        <v>-1.53575568639455E-2</v>
      </c>
      <c r="FR276" s="5">
        <v>-0.31245615385432901</v>
      </c>
      <c r="FS276" s="5">
        <v>0.20621576045022499</v>
      </c>
      <c r="FT276" s="5">
        <v>0.56809519750863902</v>
      </c>
      <c r="FU276" s="5">
        <v>-9.5442726187400198E-2</v>
      </c>
      <c r="FV276" s="5">
        <v>0.35557416161014799</v>
      </c>
      <c r="FW276" s="5">
        <v>-1.8736372560375501E-2</v>
      </c>
      <c r="FX276" s="5">
        <v>0.59285548400350896</v>
      </c>
      <c r="FY276" s="5">
        <v>-0.35094479883111901</v>
      </c>
      <c r="FZ276" s="5">
        <v>0.58674276311388096</v>
      </c>
      <c r="GA276" s="5">
        <v>-8.0965491621110094E-2</v>
      </c>
      <c r="GB276" s="5">
        <v>0.20057350828790699</v>
      </c>
      <c r="GC276" s="5">
        <v>0.13579254611994501</v>
      </c>
      <c r="GD276" s="5">
        <v>-0.118959769039546</v>
      </c>
      <c r="GE276" s="5">
        <v>0.17847540805762199</v>
      </c>
      <c r="GF276" s="5">
        <v>0.61211718018912997</v>
      </c>
      <c r="GG276" s="5">
        <v>-0.26558019581289799</v>
      </c>
      <c r="GH276" s="5">
        <v>-0.34415196145646898</v>
      </c>
      <c r="GI276" s="5">
        <v>0.33037303824238501</v>
      </c>
      <c r="GJ276" s="5">
        <v>0.68106771601770699</v>
      </c>
      <c r="GK276" s="5">
        <v>-0.47991821838526</v>
      </c>
      <c r="GL276" s="5">
        <v>0.36150148505020302</v>
      </c>
      <c r="GM276" s="5">
        <v>-0.13670754071472299</v>
      </c>
      <c r="GN276" s="5">
        <v>0.21628991550669499</v>
      </c>
      <c r="GO276" s="5">
        <v>0.160240231454639</v>
      </c>
      <c r="GP276" s="5">
        <v>0.49669975224579499</v>
      </c>
      <c r="GQ276" s="5">
        <v>-5.93828459909033E-2</v>
      </c>
      <c r="GR276" s="5">
        <v>0.68416303202984097</v>
      </c>
      <c r="GS276" s="5">
        <v>-0.45742240726002698</v>
      </c>
      <c r="GT276" s="5">
        <v>0.47243542505946001</v>
      </c>
      <c r="GU276" s="5">
        <v>-3.01226242365846E-2</v>
      </c>
      <c r="GV276" s="5">
        <v>0.49388062431846502</v>
      </c>
      <c r="GW276" s="5">
        <v>-0.29263723756434501</v>
      </c>
      <c r="GX276" s="5">
        <v>0.44584308145364598</v>
      </c>
      <c r="GY276" s="5">
        <v>-6.21749608481015E-2</v>
      </c>
      <c r="GZ276" s="5">
        <v>-0.116568092503943</v>
      </c>
      <c r="HA276" s="5">
        <v>0.12605200974452699</v>
      </c>
      <c r="HB276" s="5">
        <v>0.66993490695110003</v>
      </c>
      <c r="HC276" s="5">
        <v>-0.40272661575990598</v>
      </c>
      <c r="HD276" s="5">
        <v>0.216656312551397</v>
      </c>
      <c r="HE276" s="5">
        <v>0.24610498705601</v>
      </c>
      <c r="HF276" s="5">
        <v>-0.141739838550244</v>
      </c>
      <c r="HG276" s="5">
        <v>0.16829146369109599</v>
      </c>
      <c r="HH276" s="5">
        <v>4.0744532297919498E-3</v>
      </c>
      <c r="HI276" s="5">
        <v>0.14727467989902199</v>
      </c>
      <c r="HJ276" s="5">
        <v>-0.15910408858953601</v>
      </c>
      <c r="HK276" s="5">
        <v>0.162511817935589</v>
      </c>
      <c r="HL276" s="5">
        <v>0.61942769793387598</v>
      </c>
      <c r="HM276" s="5">
        <v>-0.24827491445026401</v>
      </c>
      <c r="HN276" s="5">
        <v>0.14644971375907301</v>
      </c>
      <c r="HO276" s="5">
        <v>7.3217557046417206E-2</v>
      </c>
      <c r="HP276" s="5">
        <v>0.49341730490362201</v>
      </c>
      <c r="HQ276" s="5">
        <v>-0.11232917914325</v>
      </c>
      <c r="HR276" s="5">
        <v>0.61394662917541099</v>
      </c>
      <c r="HS276" s="5">
        <v>-0.29444440621401102</v>
      </c>
      <c r="HT276" s="5">
        <v>0.133049018649644</v>
      </c>
      <c r="HU276" s="5">
        <v>0.14835917653269201</v>
      </c>
      <c r="HV276" s="5">
        <v>0.45375388790889298</v>
      </c>
      <c r="HW276" s="5">
        <v>-0.145487026003213</v>
      </c>
      <c r="HX276" s="5">
        <v>0.66541366001788704</v>
      </c>
      <c r="HY276" s="5">
        <v>-0.34598278458730902</v>
      </c>
      <c r="HZ276" s="5">
        <v>1.2225776500328399E-2</v>
      </c>
      <c r="IA276" s="5">
        <v>0.12974998986171599</v>
      </c>
      <c r="IB276" s="5">
        <v>-0.32376131531418301</v>
      </c>
      <c r="IC276" s="5">
        <v>0.30602641573071099</v>
      </c>
      <c r="ID276" s="5">
        <v>0.50481733550371999</v>
      </c>
      <c r="IE276" s="5">
        <v>-8.7049747279628706E-2</v>
      </c>
      <c r="IF276" s="5">
        <v>0.51251260498509399</v>
      </c>
      <c r="IG276" s="5">
        <v>-0.160902003564347</v>
      </c>
      <c r="IH276" s="5">
        <v>0.46288183582760101</v>
      </c>
      <c r="II276" s="5">
        <v>-0.247159162954871</v>
      </c>
      <c r="IJ276" s="5">
        <v>0.51512106512201605</v>
      </c>
      <c r="IK276" s="5">
        <v>-0.36224776903760397</v>
      </c>
      <c r="IL276" s="5">
        <v>0.536908733731849</v>
      </c>
      <c r="IM276" s="5">
        <v>-0.14377194197133</v>
      </c>
      <c r="IN276" s="5">
        <v>0.65186187209287305</v>
      </c>
      <c r="IO276" s="5">
        <v>-0.32411562510566999</v>
      </c>
      <c r="IP276" s="5">
        <v>0.602722232945615</v>
      </c>
      <c r="IQ276" s="5">
        <v>-0.19551677948407201</v>
      </c>
      <c r="IR276" s="5">
        <v>0.18391202275420901</v>
      </c>
      <c r="IS276" s="5">
        <v>0.17301662153095801</v>
      </c>
      <c r="IT276" s="5">
        <v>0.46994434397649898</v>
      </c>
      <c r="IU276" s="5">
        <v>-0.14127527776592</v>
      </c>
      <c r="IV276" s="5">
        <v>0.39851409916264402</v>
      </c>
      <c r="IW276" s="5">
        <v>-0.13937007427722301</v>
      </c>
      <c r="IX276" s="5">
        <v>0.56615229812874501</v>
      </c>
      <c r="IY276" s="5">
        <v>-0.30808063325785801</v>
      </c>
      <c r="IZ276" s="5">
        <v>4.9555064722277102E-2</v>
      </c>
      <c r="JA276" s="5">
        <v>8.3497107754008204E-2</v>
      </c>
      <c r="JB276" s="5">
        <v>-0.259439760415556</v>
      </c>
      <c r="JC276" s="5">
        <v>0.167815333151075</v>
      </c>
      <c r="JD276" s="5">
        <v>0.31697236268734802</v>
      </c>
      <c r="JE276" s="5">
        <v>0.22225324279747799</v>
      </c>
      <c r="JF276" s="5">
        <v>0.49809133720075399</v>
      </c>
      <c r="JG276" s="5">
        <v>-0.37823080776229301</v>
      </c>
      <c r="JH276" s="5">
        <v>0.25110447235833899</v>
      </c>
      <c r="JI276" s="5">
        <v>-9.2210549089671898E-2</v>
      </c>
      <c r="JJ276" s="5">
        <v>0.58997201779054997</v>
      </c>
      <c r="JK276" s="5">
        <v>-0.13409246516106099</v>
      </c>
      <c r="JL276" s="5">
        <v>0.46324689212905701</v>
      </c>
      <c r="JM276" s="5">
        <v>-1.90400107067785E-2</v>
      </c>
      <c r="JN276" s="5">
        <v>0.67686100195351495</v>
      </c>
      <c r="JO276" s="5">
        <v>-0.415906747921088</v>
      </c>
      <c r="JP276" s="5">
        <v>1</v>
      </c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</row>
    <row r="277" spans="1:389" x14ac:dyDescent="0.45">
      <c r="A277" s="4" t="str">
        <f ca="1">"PER / beta2dist in "&amp;CELL("address",'damages-1990'!$K$139)</f>
        <v>PER / beta2dist in '[BHM betas v3pd.xlsx]damages-1990'!$K$139</v>
      </c>
      <c r="B277" s="6">
        <v>-0.117805277714419</v>
      </c>
      <c r="C277" s="5">
        <v>0.113601075274972</v>
      </c>
      <c r="D277" s="5">
        <v>-0.30621231520682102</v>
      </c>
      <c r="E277" s="5">
        <v>0.54006248951803904</v>
      </c>
      <c r="F277" s="5">
        <v>-6.1334907993104197E-2</v>
      </c>
      <c r="G277" s="5">
        <v>3.75589003143775E-3</v>
      </c>
      <c r="H277" s="5">
        <v>0.12731943353354999</v>
      </c>
      <c r="I277" s="5">
        <v>-0.20049887188996801</v>
      </c>
      <c r="J277" s="5">
        <v>-0.16917711439128399</v>
      </c>
      <c r="K277" s="5">
        <v>0.25853942343202602</v>
      </c>
      <c r="L277" s="5">
        <v>-2.7038125938138799E-2</v>
      </c>
      <c r="M277" s="5">
        <v>1.6990631628643199E-2</v>
      </c>
      <c r="N277" s="5">
        <v>-0.13924479239471799</v>
      </c>
      <c r="O277" s="5">
        <v>0.11663286813191701</v>
      </c>
      <c r="P277" s="5">
        <v>-0.49324073732094598</v>
      </c>
      <c r="Q277" s="5">
        <v>0.59086293764111797</v>
      </c>
      <c r="R277" s="5">
        <v>-0.23537686146654299</v>
      </c>
      <c r="S277" s="5">
        <v>0.43616062244307902</v>
      </c>
      <c r="T277" s="5">
        <v>-3.68655869160417E-2</v>
      </c>
      <c r="U277" s="5">
        <v>2.3986962712995101E-2</v>
      </c>
      <c r="V277" s="5">
        <v>-3.3171786933490502E-2</v>
      </c>
      <c r="W277" s="5">
        <v>-6.1595711553274299E-2</v>
      </c>
      <c r="X277" s="5">
        <v>-0.38199053811693701</v>
      </c>
      <c r="Y277" s="5">
        <v>0.535281206950731</v>
      </c>
      <c r="Z277" s="5">
        <v>-4.3821824343969501E-2</v>
      </c>
      <c r="AA277" s="5">
        <v>1.94115649902241E-2</v>
      </c>
      <c r="AB277" s="5">
        <v>-0.32000923426626399</v>
      </c>
      <c r="AC277" s="5">
        <v>0.59749838990918902</v>
      </c>
      <c r="AD277" s="5">
        <v>-0.25206563715911201</v>
      </c>
      <c r="AE277" s="5">
        <v>0.49999270770513499</v>
      </c>
      <c r="AF277" s="5">
        <v>-0.22700939298669701</v>
      </c>
      <c r="AG277" s="5">
        <v>0.33770739232217301</v>
      </c>
      <c r="AH277" s="5">
        <v>-5.8418714722675201E-2</v>
      </c>
      <c r="AI277" s="5">
        <v>6.3785372020802996E-3</v>
      </c>
      <c r="AJ277" s="5">
        <v>-0.23873969641117801</v>
      </c>
      <c r="AK277" s="5">
        <v>0.26028631758561899</v>
      </c>
      <c r="AL277" s="5">
        <v>-2.4530803586502E-2</v>
      </c>
      <c r="AM277" s="5">
        <v>3.5723435871468999E-2</v>
      </c>
      <c r="AN277" s="5">
        <v>-9.7812348485450701E-2</v>
      </c>
      <c r="AO277" s="5">
        <v>7.7534082713039201E-2</v>
      </c>
      <c r="AP277" s="5">
        <v>-5.7998712086981902E-2</v>
      </c>
      <c r="AQ277" s="5">
        <v>8.6903716734906697E-2</v>
      </c>
      <c r="AR277" s="5">
        <v>-0.23287920785767399</v>
      </c>
      <c r="AS277" s="5">
        <v>0.38724667452665201</v>
      </c>
      <c r="AT277" s="5">
        <v>0.113288536715282</v>
      </c>
      <c r="AU277" s="5">
        <v>-0.17629556665967699</v>
      </c>
      <c r="AV277" s="5">
        <v>-0.35225972354780799</v>
      </c>
      <c r="AW277" s="5">
        <v>0.63074854785985401</v>
      </c>
      <c r="AX277" s="5">
        <v>-0.38509354550102798</v>
      </c>
      <c r="AY277" s="5">
        <v>0.66625986550556504</v>
      </c>
      <c r="AZ277" s="5">
        <v>-0.418904416317739</v>
      </c>
      <c r="BA277" s="5">
        <v>0.52298149218033396</v>
      </c>
      <c r="BB277" s="5">
        <v>-0.15509462911292399</v>
      </c>
      <c r="BC277" s="5">
        <v>0.33419848123712298</v>
      </c>
      <c r="BD277" s="5">
        <v>-2.6622685736444499E-2</v>
      </c>
      <c r="BE277" s="5">
        <v>-3.0374903343884499E-2</v>
      </c>
      <c r="BF277" s="5">
        <v>-0.17647743412082401</v>
      </c>
      <c r="BG277" s="5">
        <v>0.29808708958036201</v>
      </c>
      <c r="BH277" s="5">
        <v>-0.35545239488133201</v>
      </c>
      <c r="BI277" s="5">
        <v>0.63986885643395897</v>
      </c>
      <c r="BJ277" s="5">
        <v>0.13950036726767001</v>
      </c>
      <c r="BK277" s="5">
        <v>-0.29069259006502401</v>
      </c>
      <c r="BL277" s="5">
        <v>-4.5509740996749801E-2</v>
      </c>
      <c r="BM277" s="5">
        <v>2.7845576695176899E-2</v>
      </c>
      <c r="BN277" s="5">
        <v>-1.6825891376407599E-2</v>
      </c>
      <c r="BO277" s="5">
        <v>-9.3653637641499296E-2</v>
      </c>
      <c r="BP277" s="5">
        <v>0.108562192879019</v>
      </c>
      <c r="BQ277" s="5">
        <v>-0.31770943060768497</v>
      </c>
      <c r="BR277" s="5">
        <v>-0.352942495611614</v>
      </c>
      <c r="BS277" s="5">
        <v>0.605896728576788</v>
      </c>
      <c r="BT277" s="5">
        <v>-0.30494561954870097</v>
      </c>
      <c r="BU277" s="5">
        <v>0.61007031073681295</v>
      </c>
      <c r="BV277" s="5">
        <v>-0.312113546281858</v>
      </c>
      <c r="BW277" s="5">
        <v>0.56822297896294205</v>
      </c>
      <c r="BX277" s="5">
        <v>-0.29629962042642599</v>
      </c>
      <c r="BY277" s="5">
        <v>0.58866479580470099</v>
      </c>
      <c r="BZ277" s="5">
        <v>-0.482810214233864</v>
      </c>
      <c r="CA277" s="5">
        <v>0.750558331907063</v>
      </c>
      <c r="CB277" s="5">
        <v>-0.33672411319551898</v>
      </c>
      <c r="CC277" s="5">
        <v>0.50228886358663505</v>
      </c>
      <c r="CD277" s="5">
        <v>-0.17000457721211601</v>
      </c>
      <c r="CE277" s="5">
        <v>0.237674703931643</v>
      </c>
      <c r="CF277" s="5">
        <v>-0.56449406806120905</v>
      </c>
      <c r="CG277" s="5">
        <v>0.702694784536261</v>
      </c>
      <c r="CH277" s="5">
        <v>6.8239976602571199E-3</v>
      </c>
      <c r="CI277" s="5">
        <v>4.3583646137680801E-2</v>
      </c>
      <c r="CJ277" s="5">
        <v>-0.15662097868875999</v>
      </c>
      <c r="CK277" s="5">
        <v>0.119685893113891</v>
      </c>
      <c r="CL277" s="5">
        <v>-1.12096664749286E-2</v>
      </c>
      <c r="CM277" s="5">
        <v>-1.03955304277977E-2</v>
      </c>
      <c r="CN277" s="5">
        <v>-2.31444037206236E-2</v>
      </c>
      <c r="CO277" s="5">
        <v>-6.9199728133486097E-3</v>
      </c>
      <c r="CP277" s="5">
        <v>-0.39454256684841099</v>
      </c>
      <c r="CQ277" s="5">
        <v>0.51813575987156602</v>
      </c>
      <c r="CR277" s="5">
        <v>-0.48518827858952102</v>
      </c>
      <c r="CS277" s="5">
        <v>0.59431507298648401</v>
      </c>
      <c r="CT277" s="5">
        <v>-3.2210448491670901E-2</v>
      </c>
      <c r="CU277" s="5">
        <v>3.9917240332998399E-2</v>
      </c>
      <c r="CV277" s="5">
        <v>-0.254995703333804</v>
      </c>
      <c r="CW277" s="5">
        <v>0.35609707778599697</v>
      </c>
      <c r="CX277" s="5">
        <v>-0.24638854881255901</v>
      </c>
      <c r="CY277" s="5">
        <v>0.38160806551646598</v>
      </c>
      <c r="CZ277" s="5">
        <v>-0.55046088426082695</v>
      </c>
      <c r="DA277" s="5">
        <v>0.74672782933388604</v>
      </c>
      <c r="DB277" s="5">
        <v>-0.17027849112620799</v>
      </c>
      <c r="DC277" s="5">
        <v>0.150592589276384</v>
      </c>
      <c r="DD277" s="5">
        <v>-0.27613624310531298</v>
      </c>
      <c r="DE277" s="5">
        <v>0.44513250163979801</v>
      </c>
      <c r="DF277" s="5">
        <v>-0.32576426275153703</v>
      </c>
      <c r="DG277" s="5">
        <v>0.45940102206415101</v>
      </c>
      <c r="DH277" s="5">
        <v>-0.237129965326113</v>
      </c>
      <c r="DI277" s="5">
        <v>0.28986163546447802</v>
      </c>
      <c r="DJ277" s="5">
        <v>-4.5950125095999004E-3</v>
      </c>
      <c r="DK277" s="5">
        <v>3.2855396598456703E-2</v>
      </c>
      <c r="DL277" s="5">
        <v>-0.34836001174394399</v>
      </c>
      <c r="DM277" s="5">
        <v>0.56034931983036995</v>
      </c>
      <c r="DN277" s="5">
        <v>3.94961146036171E-2</v>
      </c>
      <c r="DO277" s="5">
        <v>-2.0188347076572501E-2</v>
      </c>
      <c r="DP277" s="5">
        <v>0.249585055187698</v>
      </c>
      <c r="DQ277" s="5">
        <v>-0.28284070135237199</v>
      </c>
      <c r="DR277" s="5">
        <v>-9.0435337084041098E-2</v>
      </c>
      <c r="DS277" s="5">
        <v>7.4064365286956604E-2</v>
      </c>
      <c r="DT277" s="5">
        <v>-0.32318308597926199</v>
      </c>
      <c r="DU277" s="5">
        <v>0.37335983139852402</v>
      </c>
      <c r="DV277" s="5">
        <v>-0.25194053739225403</v>
      </c>
      <c r="DW277" s="5">
        <v>0.49698752334889201</v>
      </c>
      <c r="DX277" s="5">
        <v>4.8335220505139498E-2</v>
      </c>
      <c r="DY277" s="5">
        <v>-6.0324404758799001E-2</v>
      </c>
      <c r="DZ277" s="5">
        <v>-0.127328161858279</v>
      </c>
      <c r="EA277" s="5">
        <v>0.13721093747961399</v>
      </c>
      <c r="EB277" s="5">
        <v>-0.39663878850955903</v>
      </c>
      <c r="EC277" s="5">
        <v>0.63096458074185602</v>
      </c>
      <c r="ED277" s="5">
        <v>-0.326312393079493</v>
      </c>
      <c r="EE277" s="5">
        <v>0.56183001911240704</v>
      </c>
      <c r="EF277" s="5">
        <v>-0.50143332931498197</v>
      </c>
      <c r="EG277" s="5">
        <v>0.59209552609038196</v>
      </c>
      <c r="EH277" s="5">
        <v>-0.26642041392312499</v>
      </c>
      <c r="EI277" s="5">
        <v>0.46560717381033201</v>
      </c>
      <c r="EJ277" s="5">
        <v>-0.27736133457798401</v>
      </c>
      <c r="EK277" s="5">
        <v>0.48670196885876399</v>
      </c>
      <c r="EL277" s="5">
        <v>-0.43332900741458702</v>
      </c>
      <c r="EM277" s="5">
        <v>0.71117076377382704</v>
      </c>
      <c r="EN277" s="5">
        <v>1.1740246772075099E-2</v>
      </c>
      <c r="EO277" s="5">
        <v>-8.9201789339076798E-2</v>
      </c>
      <c r="EP277" s="5">
        <v>-0.364648134303795</v>
      </c>
      <c r="EQ277" s="5">
        <v>0.47394847704017001</v>
      </c>
      <c r="ER277" s="5">
        <v>-0.224181548900871</v>
      </c>
      <c r="ES277" s="5">
        <v>0.39554357399760598</v>
      </c>
      <c r="ET277" s="5">
        <v>-0.30915896263117798</v>
      </c>
      <c r="EU277" s="5">
        <v>0.53067704733101195</v>
      </c>
      <c r="EV277" s="5">
        <v>-0.46880964240298201</v>
      </c>
      <c r="EW277" s="5">
        <v>0.69286254938353797</v>
      </c>
      <c r="EX277" s="5">
        <v>-0.18538326616009199</v>
      </c>
      <c r="EY277" s="5">
        <v>0.33785022756160799</v>
      </c>
      <c r="EZ277" s="5">
        <v>-0.25022455121622</v>
      </c>
      <c r="FA277" s="5">
        <v>0.44790095106585498</v>
      </c>
      <c r="FB277" s="5">
        <v>-0.12015781765630699</v>
      </c>
      <c r="FC277" s="5">
        <v>0.105250037353079</v>
      </c>
      <c r="FD277" s="5">
        <v>-0.231512606237739</v>
      </c>
      <c r="FE277" s="5">
        <v>0.36331738528027302</v>
      </c>
      <c r="FF277" s="5">
        <v>-8.5835706088669098E-2</v>
      </c>
      <c r="FG277" s="5">
        <v>6.2066735319564102E-2</v>
      </c>
      <c r="FH277" s="5">
        <v>-8.4770756139707793E-3</v>
      </c>
      <c r="FI277" s="5">
        <v>0.159577781848287</v>
      </c>
      <c r="FJ277" s="5">
        <v>-0.245354505566065</v>
      </c>
      <c r="FK277" s="5">
        <v>0.34569126522947502</v>
      </c>
      <c r="FL277" s="5">
        <v>0.132277053764638</v>
      </c>
      <c r="FM277" s="5">
        <v>-0.168154146032651</v>
      </c>
      <c r="FN277" s="5">
        <v>-4.0462173736627798E-2</v>
      </c>
      <c r="FO277" s="5">
        <v>3.57474946633708E-2</v>
      </c>
      <c r="FP277" s="5">
        <v>-0.107523229626781</v>
      </c>
      <c r="FQ277" s="5">
        <v>7.9324651762144205E-2</v>
      </c>
      <c r="FR277" s="5">
        <v>0.36317710687708898</v>
      </c>
      <c r="FS277" s="5">
        <v>-0.28221828084528999</v>
      </c>
      <c r="FT277" s="5">
        <v>-0.23260920350419501</v>
      </c>
      <c r="FU277" s="5">
        <v>0.206585445536042</v>
      </c>
      <c r="FV277" s="5">
        <v>-0.14021365864274701</v>
      </c>
      <c r="FW277" s="5">
        <v>0.154601703134532</v>
      </c>
      <c r="FX277" s="5">
        <v>-0.38207732608510098</v>
      </c>
      <c r="FY277" s="5">
        <v>0.51426134238050303</v>
      </c>
      <c r="FZ277" s="5">
        <v>-0.209087839980727</v>
      </c>
      <c r="GA277" s="5">
        <v>0.18877683669543199</v>
      </c>
      <c r="GB277" s="5">
        <v>-0.107605201799113</v>
      </c>
      <c r="GC277" s="5">
        <v>9.2258321018971703E-2</v>
      </c>
      <c r="GD277" s="5">
        <v>-1.30051482432879E-2</v>
      </c>
      <c r="GE277" s="5">
        <v>-3.1253341168701698E-3</v>
      </c>
      <c r="GF277" s="5">
        <v>-0.33240384192413203</v>
      </c>
      <c r="GG277" s="5">
        <v>0.55794775763934201</v>
      </c>
      <c r="GH277" s="5">
        <v>0.30404359338051501</v>
      </c>
      <c r="GI277" s="5">
        <v>-0.46644941092395098</v>
      </c>
      <c r="GJ277" s="5">
        <v>-0.33387103809388802</v>
      </c>
      <c r="GK277" s="5">
        <v>0.56330738172981099</v>
      </c>
      <c r="GL277" s="5">
        <v>-0.42294540281398402</v>
      </c>
      <c r="GM277" s="5">
        <v>0.48401616982198498</v>
      </c>
      <c r="GN277" s="5">
        <v>-5.4632420034138401E-2</v>
      </c>
      <c r="GO277" s="5">
        <v>2.0399882681816701E-2</v>
      </c>
      <c r="GP277" s="5">
        <v>-0.162669696686635</v>
      </c>
      <c r="GQ277" s="5">
        <v>0.176355807348895</v>
      </c>
      <c r="GR277" s="5">
        <v>-0.34445484513554397</v>
      </c>
      <c r="GS277" s="5">
        <v>0.55707647833430396</v>
      </c>
      <c r="GT277" s="5">
        <v>-0.18255278822846699</v>
      </c>
      <c r="GU277" s="5">
        <v>0.11968899225211101</v>
      </c>
      <c r="GV277" s="5">
        <v>-0.219909667720289</v>
      </c>
      <c r="GW277" s="5">
        <v>0.50897275355806204</v>
      </c>
      <c r="GX277" s="5">
        <v>-7.8604559145995803E-2</v>
      </c>
      <c r="GY277" s="5">
        <v>0.116298690303031</v>
      </c>
      <c r="GZ277" s="5">
        <v>-3.9073391746222402E-2</v>
      </c>
      <c r="HA277" s="5">
        <v>1.93727337383378E-2</v>
      </c>
      <c r="HB277" s="5">
        <v>-0.32046915521958702</v>
      </c>
      <c r="HC277" s="5">
        <v>0.56830954480001405</v>
      </c>
      <c r="HD277" s="5">
        <v>-9.86075347104345E-2</v>
      </c>
      <c r="HE277" s="5">
        <v>0.13176562461417601</v>
      </c>
      <c r="HF277" s="5">
        <v>-6.9974717837415299E-3</v>
      </c>
      <c r="HG277" s="5">
        <v>2.4072251074901001E-2</v>
      </c>
      <c r="HH277" s="5">
        <v>-2.47249529141821E-2</v>
      </c>
      <c r="HI277" s="5">
        <v>-9.6225278160585893E-3</v>
      </c>
      <c r="HJ277" s="5">
        <v>-1.0066274827409599E-2</v>
      </c>
      <c r="HK277" s="5">
        <v>3.4186692106382498E-2</v>
      </c>
      <c r="HL277" s="5">
        <v>-0.40251215117273798</v>
      </c>
      <c r="HM277" s="5">
        <v>0.55063906819836606</v>
      </c>
      <c r="HN277" s="5">
        <v>-0.112744646908785</v>
      </c>
      <c r="HO277" s="5">
        <v>0.102257148950555</v>
      </c>
      <c r="HP277" s="5">
        <v>6.9563364697003795E-4</v>
      </c>
      <c r="HQ277" s="5">
        <v>0.17707688995406601</v>
      </c>
      <c r="HR277" s="5">
        <v>-0.14529516905380199</v>
      </c>
      <c r="HS277" s="5">
        <v>0.33995555196911298</v>
      </c>
      <c r="HT277" s="5">
        <v>-6.08778554130113E-2</v>
      </c>
      <c r="HU277" s="5">
        <v>1.5659124652670699E-2</v>
      </c>
      <c r="HV277" s="5">
        <v>-0.182951186752387</v>
      </c>
      <c r="HW277" s="5">
        <v>0.40846887367287799</v>
      </c>
      <c r="HX277" s="5">
        <v>-0.27984645809502401</v>
      </c>
      <c r="HY277" s="5">
        <v>0.52139615662205596</v>
      </c>
      <c r="HZ277" s="5">
        <v>-7.5781606632271695E-2</v>
      </c>
      <c r="IA277" s="5">
        <v>5.5809789273878099E-2</v>
      </c>
      <c r="IB277" s="5">
        <v>0.256009785312861</v>
      </c>
      <c r="IC277" s="5">
        <v>-0.33494104031968502</v>
      </c>
      <c r="ID277" s="5">
        <v>-6.9107683256222102E-2</v>
      </c>
      <c r="IE277" s="5">
        <v>0.218842091986304</v>
      </c>
      <c r="IF277" s="5">
        <v>-0.21367544057490101</v>
      </c>
      <c r="IG277" s="5">
        <v>0.416870809003133</v>
      </c>
      <c r="IH277" s="5">
        <v>-0.50478842104425603</v>
      </c>
      <c r="II277" s="5">
        <v>0.62169155396130105</v>
      </c>
      <c r="IJ277" s="5">
        <v>-0.29192895966931398</v>
      </c>
      <c r="IK277" s="5">
        <v>0.37183691974439298</v>
      </c>
      <c r="IL277" s="5">
        <v>-7.4982404423057994E-2</v>
      </c>
      <c r="IM277" s="5">
        <v>0.21133776740021001</v>
      </c>
      <c r="IN277" s="5">
        <v>-0.18845871858976801</v>
      </c>
      <c r="IO277" s="5">
        <v>0.397035926989111</v>
      </c>
      <c r="IP277" s="5">
        <v>-0.31009069854064197</v>
      </c>
      <c r="IQ277" s="5">
        <v>0.46654223593838401</v>
      </c>
      <c r="IR277" s="5">
        <v>0.15704211717434899</v>
      </c>
      <c r="IS277" s="5">
        <v>-0.20596909166125499</v>
      </c>
      <c r="IT277" s="5">
        <v>-0.18047786528757201</v>
      </c>
      <c r="IU277" s="5">
        <v>0.37382864828079099</v>
      </c>
      <c r="IV277" s="5">
        <v>-0.18107132406103099</v>
      </c>
      <c r="IW277" s="5">
        <v>0.42880107834741199</v>
      </c>
      <c r="IX277" s="5">
        <v>-0.36235255307631697</v>
      </c>
      <c r="IY277" s="5">
        <v>0.57236111938039602</v>
      </c>
      <c r="IZ277" s="5">
        <v>-5.8149376370104797E-2</v>
      </c>
      <c r="JA277" s="5">
        <v>4.1491962438821299E-2</v>
      </c>
      <c r="JB277" s="5">
        <v>-1.4249134061902501E-2</v>
      </c>
      <c r="JC277" s="5">
        <v>5.1160089142916802E-2</v>
      </c>
      <c r="JD277" s="5">
        <v>-0.113998687450574</v>
      </c>
      <c r="JE277" s="5">
        <v>0.127091409839199</v>
      </c>
      <c r="JF277" s="5">
        <v>-0.31507863091246102</v>
      </c>
      <c r="JG277" s="5">
        <v>0.47527119902716802</v>
      </c>
      <c r="JH277" s="5">
        <v>-0.172772253678487</v>
      </c>
      <c r="JI277" s="5">
        <v>0.16375650855952301</v>
      </c>
      <c r="JJ277" s="5">
        <v>-0.26784176608361898</v>
      </c>
      <c r="JK277" s="5">
        <v>0.41638267540799001</v>
      </c>
      <c r="JL277" s="5">
        <v>-0.228738101061016</v>
      </c>
      <c r="JM277" s="5">
        <v>0.31760865975295</v>
      </c>
      <c r="JN277" s="5">
        <v>-0.48404075405982799</v>
      </c>
      <c r="JO277" s="5">
        <v>0.64437332868425501</v>
      </c>
      <c r="JP277" s="5">
        <v>-0.680646593623906</v>
      </c>
      <c r="JQ277" s="5">
        <v>1</v>
      </c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</row>
    <row r="278" spans="1:389" x14ac:dyDescent="0.45">
      <c r="A278" s="4" t="str">
        <f ca="1">"PHL / beta1dist in "&amp;CELL("address",'damages-1990'!$J$140)</f>
        <v>PHL / beta1dist in '[BHM betas v3pd.xlsx]damages-1990'!$J$140</v>
      </c>
      <c r="B278" s="6">
        <v>0.104202469910808</v>
      </c>
      <c r="C278" s="5">
        <v>0.354843444169119</v>
      </c>
      <c r="D278" s="5">
        <v>0.34968207293163101</v>
      </c>
      <c r="E278" s="5">
        <v>0.14993025405250199</v>
      </c>
      <c r="F278" s="5">
        <v>0.120662828886441</v>
      </c>
      <c r="G278" s="5">
        <v>0.14164289240341801</v>
      </c>
      <c r="H278" s="5">
        <v>-0.247957716463892</v>
      </c>
      <c r="I278" s="5">
        <v>0.20441093714824901</v>
      </c>
      <c r="J278" s="5">
        <v>0.35921517282022303</v>
      </c>
      <c r="K278" s="5">
        <v>9.8665331856086502E-2</v>
      </c>
      <c r="L278" s="5">
        <v>0.32183266382839298</v>
      </c>
      <c r="M278" s="5">
        <v>9.2880213864120195E-2</v>
      </c>
      <c r="N278" s="5">
        <v>-9.9427154092212505E-2</v>
      </c>
      <c r="O278" s="5">
        <v>0.125122826079304</v>
      </c>
      <c r="P278" s="5">
        <v>6.2884593599875999E-2</v>
      </c>
      <c r="Q278" s="5">
        <v>0.17293863457502101</v>
      </c>
      <c r="R278" s="5">
        <v>0.46048617860396901</v>
      </c>
      <c r="S278" s="5">
        <v>3.3288002201496601E-2</v>
      </c>
      <c r="T278" s="5">
        <v>-0.16517564874238699</v>
      </c>
      <c r="U278" s="5">
        <v>0.19286915493576401</v>
      </c>
      <c r="V278" s="5">
        <v>0.18488921715860299</v>
      </c>
      <c r="W278" s="5">
        <v>0.20950526846679199</v>
      </c>
      <c r="X278" s="5">
        <v>0.21144149897248199</v>
      </c>
      <c r="Y278" s="5">
        <v>0.26615380291264401</v>
      </c>
      <c r="Z278" s="5">
        <v>-8.5149875510342504E-2</v>
      </c>
      <c r="AA278" s="5">
        <v>0.20235842012998101</v>
      </c>
      <c r="AB278" s="5">
        <v>0.39013823990538599</v>
      </c>
      <c r="AC278" s="5">
        <v>-8.9469777226968399E-3</v>
      </c>
      <c r="AD278" s="5">
        <v>0.34361912030001501</v>
      </c>
      <c r="AE278" s="5">
        <v>5.0251791789590702E-2</v>
      </c>
      <c r="AF278" s="5">
        <v>0.30807393510387499</v>
      </c>
      <c r="AG278" s="5">
        <v>9.0876463609177699E-2</v>
      </c>
      <c r="AH278" s="5">
        <v>5.2517947593297497E-2</v>
      </c>
      <c r="AI278" s="5">
        <v>0.16297836391614801</v>
      </c>
      <c r="AJ278" s="5">
        <v>0.29983703438279602</v>
      </c>
      <c r="AK278" s="5">
        <v>0.130463032124639</v>
      </c>
      <c r="AL278" s="5">
        <v>0.45555089003535398</v>
      </c>
      <c r="AM278" s="5">
        <v>-0.24243016098211401</v>
      </c>
      <c r="AN278" s="5">
        <v>-8.5173655567430603E-2</v>
      </c>
      <c r="AO278" s="5">
        <v>0.22351610686666601</v>
      </c>
      <c r="AP278" s="5">
        <v>-7.4657536698494398E-2</v>
      </c>
      <c r="AQ278" s="5">
        <v>0.112870286212922</v>
      </c>
      <c r="AR278" s="5">
        <v>0.61976571597599595</v>
      </c>
      <c r="AS278" s="5">
        <v>-0.31726985192448698</v>
      </c>
      <c r="AT278" s="5">
        <v>0.43303293958809602</v>
      </c>
      <c r="AU278" s="5">
        <v>-0.241205075924082</v>
      </c>
      <c r="AV278" s="5">
        <v>0.62660564842614397</v>
      </c>
      <c r="AW278" s="5">
        <v>-0.227083856190609</v>
      </c>
      <c r="AX278" s="5">
        <v>0.55130193960497598</v>
      </c>
      <c r="AY278" s="5">
        <v>-0.123589931121986</v>
      </c>
      <c r="AZ278" s="5">
        <v>0.231148514316597</v>
      </c>
      <c r="BA278" s="5">
        <v>-3.3082404052856798E-2</v>
      </c>
      <c r="BB278" s="5">
        <v>0.42246819595812601</v>
      </c>
      <c r="BC278" s="5">
        <v>5.4226336479601699E-2</v>
      </c>
      <c r="BD278" s="5">
        <v>8.8049736972256695E-2</v>
      </c>
      <c r="BE278" s="5">
        <v>0.28635875488863599</v>
      </c>
      <c r="BF278" s="5">
        <v>0.45768075470821901</v>
      </c>
      <c r="BG278" s="5">
        <v>-6.2180506424007499E-2</v>
      </c>
      <c r="BH278" s="5">
        <v>0.30838132300791099</v>
      </c>
      <c r="BI278" s="5">
        <v>0.15055846205701501</v>
      </c>
      <c r="BJ278" s="5">
        <v>-0.29556935096262998</v>
      </c>
      <c r="BK278" s="5">
        <v>0.11327306289313301</v>
      </c>
      <c r="BL278" s="5">
        <v>-0.21582049516694199</v>
      </c>
      <c r="BM278" s="5">
        <v>0.20625420627698601</v>
      </c>
      <c r="BN278" s="5">
        <v>-0.146746990918771</v>
      </c>
      <c r="BO278" s="5">
        <v>0.20850596116313</v>
      </c>
      <c r="BP278" s="5">
        <v>-0.16662324277473101</v>
      </c>
      <c r="BQ278" s="5">
        <v>0.259756103494517</v>
      </c>
      <c r="BR278" s="5">
        <v>0.28448212019913</v>
      </c>
      <c r="BS278" s="5">
        <v>9.2499684046763397E-2</v>
      </c>
      <c r="BT278" s="5">
        <v>0.47507988396589401</v>
      </c>
      <c r="BU278" s="5">
        <v>-9.1228308857269607E-3</v>
      </c>
      <c r="BV278" s="5">
        <v>0.31727218786830103</v>
      </c>
      <c r="BW278" s="5">
        <v>0.15900879818025501</v>
      </c>
      <c r="BX278" s="5">
        <v>0.32704948634958703</v>
      </c>
      <c r="BY278" s="5">
        <v>8.8101524092418199E-2</v>
      </c>
      <c r="BZ278" s="5">
        <v>0.38315237697285098</v>
      </c>
      <c r="CA278" s="5">
        <v>5.8974576464064503E-2</v>
      </c>
      <c r="CB278" s="5">
        <v>0.38370621081227302</v>
      </c>
      <c r="CC278" s="5">
        <v>-9.8295565375574406E-2</v>
      </c>
      <c r="CD278" s="5">
        <v>0.14558095165911</v>
      </c>
      <c r="CE278" s="5">
        <v>0.12564369304931</v>
      </c>
      <c r="CF278" s="5">
        <v>0.34475240642514199</v>
      </c>
      <c r="CG278" s="5">
        <v>-5.9980798777913201E-2</v>
      </c>
      <c r="CH278" s="5">
        <v>0.44552912472827799</v>
      </c>
      <c r="CI278" s="5">
        <v>-0.268251762839397</v>
      </c>
      <c r="CJ278" s="5">
        <v>0.20790859239488099</v>
      </c>
      <c r="CK278" s="5">
        <v>4.2977269290579698E-2</v>
      </c>
      <c r="CL278" s="5">
        <v>-8.6772015596519494E-2</v>
      </c>
      <c r="CM278" s="5">
        <v>0.15790425083621601</v>
      </c>
      <c r="CN278" s="5">
        <v>-7.6344222462701006E-2</v>
      </c>
      <c r="CO278" s="5">
        <v>0.165966894245375</v>
      </c>
      <c r="CP278" s="5">
        <v>0.229881857224981</v>
      </c>
      <c r="CQ278" s="5">
        <v>8.6636434124492304E-2</v>
      </c>
      <c r="CR278" s="5">
        <v>9.1887786125701199E-2</v>
      </c>
      <c r="CS278" s="5">
        <v>0.13402018245877001</v>
      </c>
      <c r="CT278" s="5">
        <v>-8.5512591973289406E-2</v>
      </c>
      <c r="CU278" s="5">
        <v>0.110493340493465</v>
      </c>
      <c r="CV278" s="5">
        <v>0.33218789077356797</v>
      </c>
      <c r="CW278" s="5">
        <v>-6.3535253394173694E-2</v>
      </c>
      <c r="CX278" s="5">
        <v>0.52024635882991899</v>
      </c>
      <c r="CY278" s="5">
        <v>-0.11244343001238701</v>
      </c>
      <c r="CZ278" s="5">
        <v>0.300950244472242</v>
      </c>
      <c r="DA278" s="5">
        <v>0.107612085070876</v>
      </c>
      <c r="DB278" s="5">
        <v>0.46161976246136199</v>
      </c>
      <c r="DC278" s="5">
        <v>-6.4471749775418002E-2</v>
      </c>
      <c r="DD278" s="5">
        <v>0.28784911873216701</v>
      </c>
      <c r="DE278" s="5">
        <v>8.3159051293676803E-2</v>
      </c>
      <c r="DF278" s="5">
        <v>0.302481937952365</v>
      </c>
      <c r="DG278" s="5">
        <v>9.1211635270749394E-2</v>
      </c>
      <c r="DH278" s="5">
        <v>0.23933797201093199</v>
      </c>
      <c r="DI278" s="5">
        <v>0.10932201300335501</v>
      </c>
      <c r="DJ278" s="5">
        <v>-8.7003554615414896E-2</v>
      </c>
      <c r="DK278" s="5">
        <v>9.0103183327105194E-2</v>
      </c>
      <c r="DL278" s="5">
        <v>0.24236209907745099</v>
      </c>
      <c r="DM278" s="5">
        <v>0.19884739371566501</v>
      </c>
      <c r="DN278" s="5">
        <v>-0.230635627706231</v>
      </c>
      <c r="DO278" s="5">
        <v>0.19550097114062601</v>
      </c>
      <c r="DP278" s="5">
        <v>0.531849838786845</v>
      </c>
      <c r="DQ278" s="5">
        <v>-0.249246509483986</v>
      </c>
      <c r="DR278" s="5">
        <v>7.6836458833401903E-3</v>
      </c>
      <c r="DS278" s="5">
        <v>0.202185641236065</v>
      </c>
      <c r="DT278" s="5">
        <v>0.32616310906917201</v>
      </c>
      <c r="DU278" s="5">
        <v>-9.5277226753168104E-2</v>
      </c>
      <c r="DV278" s="5">
        <v>0.213534089976462</v>
      </c>
      <c r="DW278" s="5">
        <v>0.14558201887590699</v>
      </c>
      <c r="DX278" s="5">
        <v>-0.14710261542044201</v>
      </c>
      <c r="DY278" s="5">
        <v>0.17484713717446601</v>
      </c>
      <c r="DZ278" s="5">
        <v>-5.9086134354405198E-2</v>
      </c>
      <c r="EA278" s="5">
        <v>0.12831603216822801</v>
      </c>
      <c r="EB278" s="5">
        <v>0.39577129878418499</v>
      </c>
      <c r="EC278" s="5">
        <v>1.04869325356459E-2</v>
      </c>
      <c r="ED278" s="5">
        <v>0.33532829506523798</v>
      </c>
      <c r="EE278" s="5">
        <v>0.100800115965118</v>
      </c>
      <c r="EF278" s="5">
        <v>5.5544258518063501E-2</v>
      </c>
      <c r="EG278" s="5">
        <v>0.16366143174520401</v>
      </c>
      <c r="EH278" s="5">
        <v>0.43425071636419499</v>
      </c>
      <c r="EI278" s="5">
        <v>-1.46148807833136E-2</v>
      </c>
      <c r="EJ278" s="5">
        <v>0.40178621417765098</v>
      </c>
      <c r="EK278" s="5">
        <v>3.1276843782990497E-2</v>
      </c>
      <c r="EL278" s="5">
        <v>0.42702851671402797</v>
      </c>
      <c r="EM278" s="5">
        <v>-2.3798784518967501E-2</v>
      </c>
      <c r="EN278" s="5">
        <v>0.31884202484846902</v>
      </c>
      <c r="EO278" s="5">
        <v>-7.4450028739876495E-2</v>
      </c>
      <c r="EP278" s="5">
        <v>0.27248290201032399</v>
      </c>
      <c r="EQ278" s="5">
        <v>-5.8620856117484903E-2</v>
      </c>
      <c r="ER278" s="5">
        <v>0.56194642921101801</v>
      </c>
      <c r="ES278" s="5">
        <v>-0.181413170786769</v>
      </c>
      <c r="ET278" s="5">
        <v>0.339744712641604</v>
      </c>
      <c r="EU278" s="5">
        <v>7.7734924312072599E-3</v>
      </c>
      <c r="EV278" s="5">
        <v>0.378770678525718</v>
      </c>
      <c r="EW278" s="5">
        <v>-3.0827464613422301E-2</v>
      </c>
      <c r="EX278" s="5">
        <v>0.42702679131337601</v>
      </c>
      <c r="EY278" s="5">
        <v>-0.16074579931241101</v>
      </c>
      <c r="EZ278" s="5">
        <v>0.57501140926120797</v>
      </c>
      <c r="FA278" s="5">
        <v>-0.18766898140006799</v>
      </c>
      <c r="FB278" s="5">
        <v>6.0637106482809199E-2</v>
      </c>
      <c r="FC278" s="5">
        <v>0.15162108638122501</v>
      </c>
      <c r="FD278" s="5">
        <v>0.38193165706589699</v>
      </c>
      <c r="FE278" s="5">
        <v>-9.0243742949525099E-2</v>
      </c>
      <c r="FF278" s="5">
        <v>3.7593644641639397E-2</v>
      </c>
      <c r="FG278" s="5">
        <v>0.13236009359103801</v>
      </c>
      <c r="FH278" s="5">
        <v>0.69991673308170999</v>
      </c>
      <c r="FI278" s="5">
        <v>-0.47778557085719398</v>
      </c>
      <c r="FJ278" s="5">
        <v>0.27537856747085898</v>
      </c>
      <c r="FK278" s="5">
        <v>0.23646920378340999</v>
      </c>
      <c r="FL278" s="5">
        <v>-5.8815115931675599E-2</v>
      </c>
      <c r="FM278" s="5">
        <v>6.8823873282780404E-2</v>
      </c>
      <c r="FN278" s="5">
        <v>0.289539040696073</v>
      </c>
      <c r="FO278" s="5">
        <v>0.143618621744727</v>
      </c>
      <c r="FP278" s="5">
        <v>0.43772382118490399</v>
      </c>
      <c r="FQ278" s="5">
        <v>-0.10278301047666399</v>
      </c>
      <c r="FR278" s="5">
        <v>5.02978215448312E-2</v>
      </c>
      <c r="FS278" s="5">
        <v>-0.18178179898503599</v>
      </c>
      <c r="FT278" s="5">
        <v>0.44784996026634999</v>
      </c>
      <c r="FU278" s="5">
        <v>-7.2148488770674896E-2</v>
      </c>
      <c r="FV278" s="5">
        <v>0.19347819817156101</v>
      </c>
      <c r="FW278" s="5">
        <v>7.7072170068964593E-2</v>
      </c>
      <c r="FX278" s="5">
        <v>0.36310886420840999</v>
      </c>
      <c r="FY278" s="5">
        <v>-8.6394246744473505E-2</v>
      </c>
      <c r="FZ278" s="5">
        <v>0.484685616365232</v>
      </c>
      <c r="GA278" s="5">
        <v>-8.1807778580493304E-2</v>
      </c>
      <c r="GB278" s="5">
        <v>3.8147859361355702E-2</v>
      </c>
      <c r="GC278" s="5">
        <v>0.246488876736801</v>
      </c>
      <c r="GD278" s="5">
        <v>-7.8966211725205404E-2</v>
      </c>
      <c r="GE278" s="5">
        <v>6.4351752632444303E-2</v>
      </c>
      <c r="GF278" s="5">
        <v>0.16268846080813201</v>
      </c>
      <c r="GG278" s="5">
        <v>0.29559067202762002</v>
      </c>
      <c r="GH278" s="5">
        <v>-0.13676475406757499</v>
      </c>
      <c r="GI278" s="5">
        <v>-3.3952418772373198E-2</v>
      </c>
      <c r="GJ278" s="5">
        <v>0.52255848795181403</v>
      </c>
      <c r="GK278" s="5">
        <v>-0.20538785421764999</v>
      </c>
      <c r="GL278" s="5">
        <v>0.135847509691015</v>
      </c>
      <c r="GM278" s="5">
        <v>9.1000272014050906E-2</v>
      </c>
      <c r="GN278" s="5">
        <v>0.110665671168879</v>
      </c>
      <c r="GO278" s="5">
        <v>0.19109468261385401</v>
      </c>
      <c r="GP278" s="5">
        <v>0.41799844566503402</v>
      </c>
      <c r="GQ278" s="5">
        <v>-4.6689264885602502E-2</v>
      </c>
      <c r="GR278" s="5">
        <v>0.48742830140569599</v>
      </c>
      <c r="GS278" s="5">
        <v>-0.203826712051554</v>
      </c>
      <c r="GT278" s="5">
        <v>0.31847532750520102</v>
      </c>
      <c r="GU278" s="5">
        <v>-1.37780678373871E-2</v>
      </c>
      <c r="GV278" s="5">
        <v>0.31110452375196301</v>
      </c>
      <c r="GW278" s="5">
        <v>2.9694593020212001E-2</v>
      </c>
      <c r="GX278" s="5">
        <v>0.45761674312057499</v>
      </c>
      <c r="GY278" s="5">
        <v>-0.14820711016028601</v>
      </c>
      <c r="GZ278" s="5">
        <v>-0.199537700776829</v>
      </c>
      <c r="HA278" s="5">
        <v>0.19269170340865599</v>
      </c>
      <c r="HB278" s="5">
        <v>0.30126017048658699</v>
      </c>
      <c r="HC278" s="5">
        <v>0.11606781941462301</v>
      </c>
      <c r="HD278" s="5">
        <v>8.7495933189985303E-2</v>
      </c>
      <c r="HE278" s="5">
        <v>0.33961068004863898</v>
      </c>
      <c r="HF278" s="5">
        <v>-6.2666603009084595E-2</v>
      </c>
      <c r="HG278" s="5">
        <v>8.9802285966476894E-2</v>
      </c>
      <c r="HH278" s="5">
        <v>-0.116093978572772</v>
      </c>
      <c r="HI278" s="5">
        <v>0.22676552857972801</v>
      </c>
      <c r="HJ278" s="5">
        <v>-7.7262772244876599E-2</v>
      </c>
      <c r="HK278" s="5">
        <v>9.03014268234925E-2</v>
      </c>
      <c r="HL278" s="5">
        <v>0.372467983100157</v>
      </c>
      <c r="HM278" s="5">
        <v>5.0738093479470801E-2</v>
      </c>
      <c r="HN278" s="5">
        <v>8.3159364791897498E-3</v>
      </c>
      <c r="HO278" s="5">
        <v>0.15686508523368001</v>
      </c>
      <c r="HP278" s="5">
        <v>0.42878455549747002</v>
      </c>
      <c r="HQ278" s="5">
        <v>4.8079634407449598E-2</v>
      </c>
      <c r="HR278" s="5">
        <v>0.47045615334492102</v>
      </c>
      <c r="HS278" s="5">
        <v>-6.2477065406622401E-2</v>
      </c>
      <c r="HT278" s="5">
        <v>5.5852259250653803E-3</v>
      </c>
      <c r="HU278" s="5">
        <v>0.20416784440659899</v>
      </c>
      <c r="HV278" s="5">
        <v>0.43547915818038802</v>
      </c>
      <c r="HW278" s="5">
        <v>-2.7820333713576399E-2</v>
      </c>
      <c r="HX278" s="5">
        <v>0.49157364098150003</v>
      </c>
      <c r="HY278" s="5">
        <v>-7.8888045188836006E-2</v>
      </c>
      <c r="HZ278" s="5">
        <v>-0.143830791580881</v>
      </c>
      <c r="IA278" s="5">
        <v>0.253552744060208</v>
      </c>
      <c r="IB278" s="5">
        <v>-0.241032528160153</v>
      </c>
      <c r="IC278" s="5">
        <v>0.153822026370557</v>
      </c>
      <c r="ID278" s="5">
        <v>0.38071675936093502</v>
      </c>
      <c r="IE278" s="5">
        <v>0.14154242074777099</v>
      </c>
      <c r="IF278" s="5">
        <v>0.47345100791059802</v>
      </c>
      <c r="IG278" s="5">
        <v>-3.6920022049673103E-2</v>
      </c>
      <c r="IH278" s="5">
        <v>0.128539926748686</v>
      </c>
      <c r="II278" s="5">
        <v>9.46972534034108E-2</v>
      </c>
      <c r="IJ278" s="5">
        <v>0.265333997528096</v>
      </c>
      <c r="IK278" s="5">
        <v>-8.9455769636303195E-2</v>
      </c>
      <c r="IL278" s="5">
        <v>0.33952868971285399</v>
      </c>
      <c r="IM278" s="5">
        <v>0.177446596654146</v>
      </c>
      <c r="IN278" s="5">
        <v>0.56923267690924195</v>
      </c>
      <c r="IO278" s="5">
        <v>-0.18544575779925199</v>
      </c>
      <c r="IP278" s="5">
        <v>0.38334795942348898</v>
      </c>
      <c r="IQ278" s="5">
        <v>0.112836650696876</v>
      </c>
      <c r="IR278" s="5">
        <v>0.40280191897102702</v>
      </c>
      <c r="IS278" s="5">
        <v>-4.1257877583857898E-2</v>
      </c>
      <c r="IT278" s="5">
        <v>0.378877078363271</v>
      </c>
      <c r="IU278" s="5">
        <v>1.1014545577719E-2</v>
      </c>
      <c r="IV278" s="5">
        <v>0.32409423480905902</v>
      </c>
      <c r="IW278" s="5">
        <v>6.0426430271100201E-2</v>
      </c>
      <c r="IX278" s="5">
        <v>0.50285419907015805</v>
      </c>
      <c r="IY278" s="5">
        <v>-0.13964269450973599</v>
      </c>
      <c r="IZ278" s="5">
        <v>-6.1436401553237402E-2</v>
      </c>
      <c r="JA278" s="5">
        <v>0.14625048111187899</v>
      </c>
      <c r="JB278" s="5">
        <v>-0.27332237710291002</v>
      </c>
      <c r="JC278" s="5">
        <v>0.228167498267696</v>
      </c>
      <c r="JD278" s="5">
        <v>0.20445839573743799</v>
      </c>
      <c r="JE278" s="5">
        <v>0.27973366931560101</v>
      </c>
      <c r="JF278" s="5">
        <v>0.26267775399069199</v>
      </c>
      <c r="JG278" s="5">
        <v>-8.7234346498178794E-2</v>
      </c>
      <c r="JH278" s="5">
        <v>5.6235226825854398E-2</v>
      </c>
      <c r="JI278" s="5">
        <v>6.1634250443310799E-2</v>
      </c>
      <c r="JJ278" s="5">
        <v>0.359951425863616</v>
      </c>
      <c r="JK278" s="5">
        <v>0.163937760236815</v>
      </c>
      <c r="JL278" s="5">
        <v>0.19646748272070499</v>
      </c>
      <c r="JM278" s="5">
        <v>0.28249792825096798</v>
      </c>
      <c r="JN278" s="5">
        <v>0.32728765602098597</v>
      </c>
      <c r="JO278" s="5">
        <v>-2.9871215578352699E-2</v>
      </c>
      <c r="JP278" s="5">
        <v>0.431291242790528</v>
      </c>
      <c r="JQ278" s="5">
        <v>5.5882100909582302E-2</v>
      </c>
      <c r="JR278" s="5">
        <v>1</v>
      </c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</row>
    <row r="279" spans="1:389" x14ac:dyDescent="0.45">
      <c r="A279" s="4" t="str">
        <f ca="1">"PHL / beta2dist in "&amp;CELL("address",'damages-1990'!$K$140)</f>
        <v>PHL / beta2dist in '[BHM betas v3pd.xlsx]damages-1990'!$K$140</v>
      </c>
      <c r="B279" s="6">
        <v>3.3770987632666401E-2</v>
      </c>
      <c r="C279" s="5">
        <v>-4.9867039189888898E-2</v>
      </c>
      <c r="D279" s="5">
        <v>2.4173823181455199E-2</v>
      </c>
      <c r="E279" s="5">
        <v>-1.8310807032361001E-2</v>
      </c>
      <c r="F279" s="5">
        <v>2.36862737553582E-2</v>
      </c>
      <c r="G279" s="5">
        <v>-2.82525610729823E-2</v>
      </c>
      <c r="H279" s="5">
        <v>0.168780014109841</v>
      </c>
      <c r="I279" s="5">
        <v>-0.19905383369261501</v>
      </c>
      <c r="J279" s="5">
        <v>-6.0707848823488703E-2</v>
      </c>
      <c r="K279" s="5">
        <v>6.8142746786806194E-2</v>
      </c>
      <c r="L279" s="5">
        <v>-1.9178447409963498E-2</v>
      </c>
      <c r="M279" s="5">
        <v>-2.1088903992989901E-2</v>
      </c>
      <c r="N279" s="5">
        <v>0.15741847130422901</v>
      </c>
      <c r="O279" s="5">
        <v>-0.21571423306423401</v>
      </c>
      <c r="P279" s="5">
        <v>8.8062375434666499E-3</v>
      </c>
      <c r="Q279" s="5">
        <v>5.6081934332915702E-2</v>
      </c>
      <c r="R279" s="5">
        <v>-8.0977964066969693E-2</v>
      </c>
      <c r="S279" s="5">
        <v>5.7776191499946498E-2</v>
      </c>
      <c r="T279" s="5">
        <v>3.5491168103134102E-2</v>
      </c>
      <c r="U279" s="5">
        <v>-6.5539895707566104E-2</v>
      </c>
      <c r="V279" s="5">
        <v>1.3944260874844801E-2</v>
      </c>
      <c r="W279" s="5">
        <v>-3.6619794073378099E-2</v>
      </c>
      <c r="X279" s="5">
        <v>0.17201592723987</v>
      </c>
      <c r="Y279" s="5">
        <v>-0.187208624047352</v>
      </c>
      <c r="Z279" s="5">
        <v>6.6479100184653403E-2</v>
      </c>
      <c r="AA279" s="5">
        <v>-7.4426310756646394E-2</v>
      </c>
      <c r="AB279" s="5">
        <v>-0.13801971681966499</v>
      </c>
      <c r="AC279" s="5">
        <v>0.18619574068092701</v>
      </c>
      <c r="AD279" s="5">
        <v>-0.17493749095688199</v>
      </c>
      <c r="AE279" s="5">
        <v>0.22051594510197001</v>
      </c>
      <c r="AF279" s="5">
        <v>-8.6457492433187094E-2</v>
      </c>
      <c r="AG279" s="5">
        <v>9.6573271474035799E-2</v>
      </c>
      <c r="AH279" s="5">
        <v>5.6762526579196698E-2</v>
      </c>
      <c r="AI279" s="5">
        <v>-6.5626759833300102E-2</v>
      </c>
      <c r="AJ279" s="5">
        <v>-3.8204937535375398E-2</v>
      </c>
      <c r="AK279" s="5">
        <v>5.3458315068674503E-2</v>
      </c>
      <c r="AL279" s="5">
        <v>2.26257106514791E-2</v>
      </c>
      <c r="AM279" s="5">
        <v>-2.9398601274103601E-2</v>
      </c>
      <c r="AN279" s="5">
        <v>8.6588493004130407E-2</v>
      </c>
      <c r="AO279" s="5">
        <v>-0.10360014583093501</v>
      </c>
      <c r="AP279" s="5">
        <v>-0.19794426496233999</v>
      </c>
      <c r="AQ279" s="5">
        <v>0.200095942922353</v>
      </c>
      <c r="AR279" s="5">
        <v>-0.28803664376218402</v>
      </c>
      <c r="AS279" s="5">
        <v>0.36126331660321398</v>
      </c>
      <c r="AT279" s="5">
        <v>-2.6147697534084299E-2</v>
      </c>
      <c r="AU279" s="5">
        <v>5.5411734048487399E-2</v>
      </c>
      <c r="AV279" s="5">
        <v>-0.24842004531790099</v>
      </c>
      <c r="AW279" s="5">
        <v>0.36249935768832098</v>
      </c>
      <c r="AX279" s="5">
        <v>-0.15251305707912599</v>
      </c>
      <c r="AY279" s="5">
        <v>0.199734294689659</v>
      </c>
      <c r="AZ279" s="5">
        <v>-0.177818565261645</v>
      </c>
      <c r="BA279" s="5">
        <v>0.28476853888967102</v>
      </c>
      <c r="BB279" s="5">
        <v>-7.2901948399878305E-2</v>
      </c>
      <c r="BC279" s="5">
        <v>0.119872202113191</v>
      </c>
      <c r="BD279" s="5">
        <v>-6.6241299141696894E-2</v>
      </c>
      <c r="BE279" s="5">
        <v>8.6705629266882203E-2</v>
      </c>
      <c r="BF279" s="5">
        <v>-0.202067942074837</v>
      </c>
      <c r="BG279" s="5">
        <v>0.217103971992608</v>
      </c>
      <c r="BH279" s="5">
        <v>5.5507856026125499E-2</v>
      </c>
      <c r="BI279" s="5">
        <v>-6.9947146626386202E-3</v>
      </c>
      <c r="BJ279" s="5">
        <v>-1.80448154431368E-2</v>
      </c>
      <c r="BK279" s="5">
        <v>-8.6212236871888899E-3</v>
      </c>
      <c r="BL279" s="5">
        <v>9.7778618976564702E-2</v>
      </c>
      <c r="BM279" s="5">
        <v>-0.13237244302718701</v>
      </c>
      <c r="BN279" s="5">
        <v>8.7095701622671301E-2</v>
      </c>
      <c r="BO279" s="5">
        <v>-9.0057283247804806E-2</v>
      </c>
      <c r="BP279" s="5">
        <v>5.2070087184393203E-2</v>
      </c>
      <c r="BQ279" s="5">
        <v>-9.6357934796551706E-2</v>
      </c>
      <c r="BR279" s="5">
        <v>-9.3965984353641605E-2</v>
      </c>
      <c r="BS279" s="5">
        <v>0.14235754707679099</v>
      </c>
      <c r="BT279" s="5">
        <v>-0.11509650073200201</v>
      </c>
      <c r="BU279" s="5">
        <v>0.175218541851315</v>
      </c>
      <c r="BV279" s="5">
        <v>7.8543494750421494E-2</v>
      </c>
      <c r="BW279" s="5">
        <v>-5.6283992336794403E-2</v>
      </c>
      <c r="BX279" s="5">
        <v>4.00943307498281E-2</v>
      </c>
      <c r="BY279" s="5">
        <v>3.04564204734269E-3</v>
      </c>
      <c r="BZ279" s="5">
        <v>-2.4282481207354101E-2</v>
      </c>
      <c r="CA279" s="5">
        <v>2.53846669757944E-2</v>
      </c>
      <c r="CB279" s="5">
        <v>-5.0803040347093898E-3</v>
      </c>
      <c r="CC279" s="5">
        <v>6.5052727737709995E-2</v>
      </c>
      <c r="CD279" s="5">
        <v>3.2294262701039002E-2</v>
      </c>
      <c r="CE279" s="5">
        <v>-4.6279586237497304E-3</v>
      </c>
      <c r="CF279" s="5">
        <v>-0.121712839500922</v>
      </c>
      <c r="CG279" s="5">
        <v>0.16413634205918301</v>
      </c>
      <c r="CH279" s="5">
        <v>3.45862410103134E-2</v>
      </c>
      <c r="CI279" s="5">
        <v>-7.49194368486596E-3</v>
      </c>
      <c r="CJ279" s="5">
        <v>-3.7268768223903598E-2</v>
      </c>
      <c r="CK279" s="5">
        <v>5.7645002523137999E-2</v>
      </c>
      <c r="CL279" s="5">
        <v>-2.4263711607649999E-3</v>
      </c>
      <c r="CM279" s="5">
        <v>-2.1960002762423599E-2</v>
      </c>
      <c r="CN279" s="5">
        <v>1.0270302903947001E-2</v>
      </c>
      <c r="CO279" s="5">
        <v>-2.5270172658865601E-2</v>
      </c>
      <c r="CP279" s="5">
        <v>-0.179832620613188</v>
      </c>
      <c r="CQ279" s="5">
        <v>0.19412375163507001</v>
      </c>
      <c r="CR279" s="5">
        <v>6.6825766897905901E-3</v>
      </c>
      <c r="CS279" s="5">
        <v>9.6016488256190205E-2</v>
      </c>
      <c r="CT279" s="5">
        <v>-4.5525155410474798E-2</v>
      </c>
      <c r="CU279" s="5">
        <v>5.8459420621528202E-2</v>
      </c>
      <c r="CV279" s="5">
        <v>-0.13983836621283</v>
      </c>
      <c r="CW279" s="5">
        <v>0.19492428256199901</v>
      </c>
      <c r="CX279" s="5">
        <v>-0.32166605875778898</v>
      </c>
      <c r="CY279" s="5">
        <v>0.38773388588851099</v>
      </c>
      <c r="CZ279" s="5">
        <v>8.2762633956604895E-2</v>
      </c>
      <c r="DA279" s="5">
        <v>-9.6681745333050406E-2</v>
      </c>
      <c r="DB279" s="5">
        <v>-0.20422387548590001</v>
      </c>
      <c r="DC279" s="5">
        <v>0.30415758587395603</v>
      </c>
      <c r="DD279" s="5">
        <v>-0.23430767609276701</v>
      </c>
      <c r="DE279" s="5">
        <v>0.252652286350459</v>
      </c>
      <c r="DF279" s="5">
        <v>-3.8747150078086698E-2</v>
      </c>
      <c r="DG279" s="5">
        <v>3.8757818346691397E-2</v>
      </c>
      <c r="DH279" s="5">
        <v>-8.5336058120675198E-2</v>
      </c>
      <c r="DI279" s="5">
        <v>0.104432855972468</v>
      </c>
      <c r="DJ279" s="5">
        <v>-0.22700238307376799</v>
      </c>
      <c r="DK279" s="5">
        <v>0.22786538589906999</v>
      </c>
      <c r="DL279" s="5">
        <v>3.8170617314499701E-2</v>
      </c>
      <c r="DM279" s="5">
        <v>1.0472335233332601E-2</v>
      </c>
      <c r="DN279" s="5">
        <v>-0.116543741667438</v>
      </c>
      <c r="DO279" s="5">
        <v>9.3725322786098297E-2</v>
      </c>
      <c r="DP279" s="5">
        <v>-0.18728353247337301</v>
      </c>
      <c r="DQ279" s="5">
        <v>0.22146879049729101</v>
      </c>
      <c r="DR279" s="5">
        <v>4.8951378130775498E-2</v>
      </c>
      <c r="DS279" s="5">
        <v>-5.0146236489030202E-2</v>
      </c>
      <c r="DT279" s="5">
        <v>-0.26166145311809602</v>
      </c>
      <c r="DU279" s="5">
        <v>0.25792495639998497</v>
      </c>
      <c r="DV279" s="5">
        <v>0.104020039388207</v>
      </c>
      <c r="DW279" s="5">
        <v>-8.3983581967941701E-2</v>
      </c>
      <c r="DX279" s="5">
        <v>4.7147423118664598E-3</v>
      </c>
      <c r="DY279" s="5">
        <v>3.9932898719176803E-2</v>
      </c>
      <c r="DZ279" s="5">
        <v>9.0121066312153303E-2</v>
      </c>
      <c r="EA279" s="5">
        <v>-0.14873916153930899</v>
      </c>
      <c r="EB279" s="5">
        <v>-0.17731091085700099</v>
      </c>
      <c r="EC279" s="5">
        <v>0.20692100778269401</v>
      </c>
      <c r="ED279" s="5">
        <v>-7.1664068799628E-2</v>
      </c>
      <c r="EE279" s="5">
        <v>0.109667569245833</v>
      </c>
      <c r="EF279" s="5">
        <v>1.1822385295881701E-2</v>
      </c>
      <c r="EG279" s="5">
        <v>6.9788392074495206E-2</v>
      </c>
      <c r="EH279" s="5">
        <v>-0.156830638918765</v>
      </c>
      <c r="EI279" s="5">
        <v>0.23422730392232999</v>
      </c>
      <c r="EJ279" s="5">
        <v>-0.12800268424078001</v>
      </c>
      <c r="EK279" s="5">
        <v>0.190449776903448</v>
      </c>
      <c r="EL279" s="5">
        <v>-1.1695504597217E-2</v>
      </c>
      <c r="EM279" s="5">
        <v>5.2799383262772497E-2</v>
      </c>
      <c r="EN279" s="5">
        <v>-8.15784247605916E-2</v>
      </c>
      <c r="EO279" s="5">
        <v>0.106687083549935</v>
      </c>
      <c r="EP279" s="5">
        <v>-0.17963187356857199</v>
      </c>
      <c r="EQ279" s="5">
        <v>0.27386530558689798</v>
      </c>
      <c r="ER279" s="5">
        <v>-0.22089715478798599</v>
      </c>
      <c r="ES279" s="5">
        <v>0.255243856421212</v>
      </c>
      <c r="ET279" s="5">
        <v>3.9671131922536601E-2</v>
      </c>
      <c r="EU279" s="5">
        <v>-1.0808419604776701E-2</v>
      </c>
      <c r="EV279" s="5">
        <v>-0.10581890250109301</v>
      </c>
      <c r="EW279" s="5">
        <v>0.156639265794497</v>
      </c>
      <c r="EX279" s="5">
        <v>-6.6888596400494604E-2</v>
      </c>
      <c r="EY279" s="5">
        <v>0.15919737398613101</v>
      </c>
      <c r="EZ279" s="5">
        <v>-0.29434586190123302</v>
      </c>
      <c r="FA279" s="5">
        <v>0.34496827474790898</v>
      </c>
      <c r="FB279" s="5">
        <v>3.9843368330520199E-2</v>
      </c>
      <c r="FC279" s="5">
        <v>-2.95416090335846E-2</v>
      </c>
      <c r="FD279" s="5">
        <v>-7.2558653895531205E-2</v>
      </c>
      <c r="FE279" s="5">
        <v>0.119233278691723</v>
      </c>
      <c r="FF279" s="5">
        <v>1.7374920941180601E-2</v>
      </c>
      <c r="FG279" s="5">
        <v>-7.19073932625168E-3</v>
      </c>
      <c r="FH279" s="5">
        <v>-0.23168106178453701</v>
      </c>
      <c r="FI279" s="5">
        <v>0.42792474798258601</v>
      </c>
      <c r="FJ279" s="5">
        <v>2.5830414837591902E-2</v>
      </c>
      <c r="FK279" s="5">
        <v>-4.1151300625364103E-2</v>
      </c>
      <c r="FL279" s="5">
        <v>-5.5481498396187101E-2</v>
      </c>
      <c r="FM279" s="5">
        <v>0.130094728286063</v>
      </c>
      <c r="FN279" s="5">
        <v>-9.4469399898840206E-2</v>
      </c>
      <c r="FO279" s="5">
        <v>0.109282888234184</v>
      </c>
      <c r="FP279" s="5">
        <v>-0.21874538529929599</v>
      </c>
      <c r="FQ279" s="5">
        <v>0.32853713239572202</v>
      </c>
      <c r="FR279" s="5">
        <v>-7.8340749959306399E-2</v>
      </c>
      <c r="FS279" s="5">
        <v>0.19327056046313101</v>
      </c>
      <c r="FT279" s="5">
        <v>-0.22043923859363501</v>
      </c>
      <c r="FU279" s="5">
        <v>0.304606478678975</v>
      </c>
      <c r="FV279" s="5">
        <v>-1.10010338657373E-2</v>
      </c>
      <c r="FW279" s="5">
        <v>5.3643602267468102E-2</v>
      </c>
      <c r="FX279" s="5">
        <v>-2.1366593783070899E-2</v>
      </c>
      <c r="FY279" s="5">
        <v>7.4594407843246502E-2</v>
      </c>
      <c r="FZ279" s="5">
        <v>-0.22433477789593001</v>
      </c>
      <c r="GA279" s="5">
        <v>0.321171477138112</v>
      </c>
      <c r="GB279" s="5">
        <v>2.5717999753643701E-2</v>
      </c>
      <c r="GC279" s="5">
        <v>-3.7098066689246298E-2</v>
      </c>
      <c r="GD279" s="5">
        <v>-9.9546384666355001E-2</v>
      </c>
      <c r="GE279" s="5">
        <v>0.14988243191500999</v>
      </c>
      <c r="GF279" s="5">
        <v>0.25279832903240701</v>
      </c>
      <c r="GG279" s="5">
        <v>-0.217237546507178</v>
      </c>
      <c r="GH279" s="5">
        <v>5.7851153917030697E-2</v>
      </c>
      <c r="GI279" s="5">
        <v>-4.7505132457685499E-2</v>
      </c>
      <c r="GJ279" s="5">
        <v>-0.126107433843167</v>
      </c>
      <c r="GK279" s="5">
        <v>0.16700431839704699</v>
      </c>
      <c r="GL279" s="5">
        <v>-0.114747775414813</v>
      </c>
      <c r="GM279" s="5">
        <v>0.174483972721415</v>
      </c>
      <c r="GN279" s="5">
        <v>-1.0843006308508599E-2</v>
      </c>
      <c r="GO279" s="5">
        <v>2.3200334233635801E-2</v>
      </c>
      <c r="GP279" s="5">
        <v>-0.18233880386221701</v>
      </c>
      <c r="GQ279" s="5">
        <v>0.26882322639515399</v>
      </c>
      <c r="GR279" s="5">
        <v>-0.12999655066861099</v>
      </c>
      <c r="GS279" s="5">
        <v>0.24433183198905201</v>
      </c>
      <c r="GT279" s="5">
        <v>-0.13226432560554099</v>
      </c>
      <c r="GU279" s="5">
        <v>0.213221376320061</v>
      </c>
      <c r="GV279" s="5">
        <v>1.69885642386161E-2</v>
      </c>
      <c r="GW279" s="5">
        <v>3.9735520094247599E-2</v>
      </c>
      <c r="GX279" s="5">
        <v>-0.22054777665814199</v>
      </c>
      <c r="GY279" s="5">
        <v>0.33038520809747501</v>
      </c>
      <c r="GZ279" s="5">
        <v>7.1117001446466696E-2</v>
      </c>
      <c r="HA279" s="5">
        <v>-0.104206009203467</v>
      </c>
      <c r="HB279" s="5">
        <v>0.17921154397887001</v>
      </c>
      <c r="HC279" s="5">
        <v>-0.17324489712311</v>
      </c>
      <c r="HD279" s="5">
        <v>-1.38062948721447E-2</v>
      </c>
      <c r="HE279" s="5">
        <v>-2.48618824014722E-4</v>
      </c>
      <c r="HF279" s="5">
        <v>-0.20735713773970599</v>
      </c>
      <c r="HG279" s="5">
        <v>0.208594813103893</v>
      </c>
      <c r="HH279" s="5">
        <v>8.79182730450003E-2</v>
      </c>
      <c r="HI279" s="5">
        <v>-0.11651602182335299</v>
      </c>
      <c r="HJ279" s="5">
        <v>-0.20962853377996199</v>
      </c>
      <c r="HK279" s="5">
        <v>0.206003847926918</v>
      </c>
      <c r="HL279" s="5">
        <v>-0.14059328248112499</v>
      </c>
      <c r="HM279" s="5">
        <v>0.16206548291773701</v>
      </c>
      <c r="HN279" s="5">
        <v>1.13150401816707E-3</v>
      </c>
      <c r="HO279" s="5">
        <v>1.0493673579638201E-2</v>
      </c>
      <c r="HP279" s="5">
        <v>1.6418093801136902E-2</v>
      </c>
      <c r="HQ279" s="5">
        <v>-2.9578494000978201E-3</v>
      </c>
      <c r="HR279" s="5">
        <v>-4.3572136946523399E-2</v>
      </c>
      <c r="HS279" s="5">
        <v>6.9697082807701094E-2</v>
      </c>
      <c r="HT279" s="5">
        <v>6.1199438952937502E-2</v>
      </c>
      <c r="HU279" s="5">
        <v>-7.7980185550236697E-2</v>
      </c>
      <c r="HV279" s="5">
        <v>-0.24878104793842101</v>
      </c>
      <c r="HW279" s="5">
        <v>0.30579548398759498</v>
      </c>
      <c r="HX279" s="5">
        <v>-0.13209401845702501</v>
      </c>
      <c r="HY279" s="5">
        <v>0.21707289157808601</v>
      </c>
      <c r="HZ279" s="5">
        <v>0.119018739421276</v>
      </c>
      <c r="IA279" s="5">
        <v>-0.15135677433196901</v>
      </c>
      <c r="IB279" s="5">
        <v>0.10369731047233301</v>
      </c>
      <c r="IC279" s="5">
        <v>-9.7362403333605005E-2</v>
      </c>
      <c r="ID279" s="5">
        <v>4.8348016886621999E-2</v>
      </c>
      <c r="IE279" s="5">
        <v>-7.8575932924847505E-2</v>
      </c>
      <c r="IF279" s="5">
        <v>-0.223997023587859</v>
      </c>
      <c r="IG279" s="5">
        <v>0.27964911469009801</v>
      </c>
      <c r="IH279" s="5">
        <v>-2.57818939476437E-2</v>
      </c>
      <c r="II279" s="5">
        <v>0.13119588054332501</v>
      </c>
      <c r="IJ279" s="5">
        <v>5.1261648376436299E-2</v>
      </c>
      <c r="IK279" s="5">
        <v>-2.4935460907460801E-2</v>
      </c>
      <c r="IL279" s="5">
        <v>9.1366451908385701E-2</v>
      </c>
      <c r="IM279" s="5">
        <v>-0.147536005625518</v>
      </c>
      <c r="IN279" s="5">
        <v>-0.15527185474979099</v>
      </c>
      <c r="IO279" s="5">
        <v>0.26609172912217499</v>
      </c>
      <c r="IP279" s="5">
        <v>-4.9228851541799602E-2</v>
      </c>
      <c r="IQ279" s="5">
        <v>2.7822462156797401E-2</v>
      </c>
      <c r="IR279" s="5">
        <v>-0.10762099968312799</v>
      </c>
      <c r="IS279" s="5">
        <v>1.26475120196175E-2</v>
      </c>
      <c r="IT279" s="5">
        <v>-0.156658717904511</v>
      </c>
      <c r="IU279" s="5">
        <v>0.23302288351612699</v>
      </c>
      <c r="IV279" s="5">
        <v>-0.12208509793634301</v>
      </c>
      <c r="IW279" s="5">
        <v>0.169832015008307</v>
      </c>
      <c r="IX279" s="5">
        <v>-0.26064651815506701</v>
      </c>
      <c r="IY279" s="5">
        <v>0.29751331401717901</v>
      </c>
      <c r="IZ279" s="5">
        <v>4.0884918946076501E-2</v>
      </c>
      <c r="JA279" s="5">
        <v>-3.6563264281678803E-2</v>
      </c>
      <c r="JB279" s="5">
        <v>-6.2298095403503201E-2</v>
      </c>
      <c r="JC279" s="5">
        <v>4.6632247804061597E-2</v>
      </c>
      <c r="JD279" s="5">
        <v>-6.9415258985120007E-2</v>
      </c>
      <c r="JE279" s="5">
        <v>8.0022872551305801E-2</v>
      </c>
      <c r="JF279" s="5">
        <v>-7.2397166901191107E-2</v>
      </c>
      <c r="JG279" s="5">
        <v>0.14602130098584101</v>
      </c>
      <c r="JH279" s="5">
        <v>3.3389509466558297E-2</v>
      </c>
      <c r="JI279" s="5">
        <v>-4.3250021300277698E-2</v>
      </c>
      <c r="JJ279" s="5">
        <v>-6.2772727207071499E-2</v>
      </c>
      <c r="JK279" s="5">
        <v>8.6335937579127497E-2</v>
      </c>
      <c r="JL279" s="5">
        <v>3.2513423722104501E-2</v>
      </c>
      <c r="JM279" s="5">
        <v>-3.6859624322479301E-2</v>
      </c>
      <c r="JN279" s="5">
        <v>-1.1033484379918701E-3</v>
      </c>
      <c r="JO279" s="5">
        <v>7.2130082870962106E-2</v>
      </c>
      <c r="JP279" s="5">
        <v>-2.1103202686028E-2</v>
      </c>
      <c r="JQ279" s="5">
        <v>5.6380169519608801E-2</v>
      </c>
      <c r="JR279" s="5">
        <v>-0.72326909059271005</v>
      </c>
      <c r="JS279" s="5">
        <v>1</v>
      </c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</row>
    <row r="280" spans="1:389" x14ac:dyDescent="0.45">
      <c r="A280" s="4" t="str">
        <f ca="1">"PLW / beta1dist in "&amp;CELL("address",'damages-1990'!$J$141)</f>
        <v>PLW / beta1dist in '[BHM betas v3pd.xlsx]damages-1990'!$J$141</v>
      </c>
      <c r="B280" s="6">
        <v>4.6567453916009797E-2</v>
      </c>
      <c r="C280" s="5">
        <v>0.25069716991836699</v>
      </c>
      <c r="D280" s="5">
        <v>0.13952429560292001</v>
      </c>
      <c r="E280" s="5">
        <v>0.22427649230621799</v>
      </c>
      <c r="F280" s="5">
        <v>5.9737420573626097E-2</v>
      </c>
      <c r="G280" s="5">
        <v>6.8960546154287095E-2</v>
      </c>
      <c r="H280" s="5">
        <v>-0.14750638482146899</v>
      </c>
      <c r="I280" s="5">
        <v>9.7864758544300198E-2</v>
      </c>
      <c r="J280" s="5">
        <v>0.22797823061815101</v>
      </c>
      <c r="K280" s="5">
        <v>4.6906676910660701E-2</v>
      </c>
      <c r="L280" s="5">
        <v>0.26159666347096</v>
      </c>
      <c r="M280" s="5">
        <v>-6.7189913928097103E-2</v>
      </c>
      <c r="N280" s="5">
        <v>-7.7329522486397101E-2</v>
      </c>
      <c r="O280" s="5">
        <v>8.1301053850760904E-2</v>
      </c>
      <c r="P280" s="5">
        <v>-0.171176897607458</v>
      </c>
      <c r="Q280" s="5">
        <v>0.28438365842691699</v>
      </c>
      <c r="R280" s="5">
        <v>0.190611166247313</v>
      </c>
      <c r="S280" s="5">
        <v>0.18638482091512201</v>
      </c>
      <c r="T280" s="5">
        <v>-0.21615643983550101</v>
      </c>
      <c r="U280" s="5">
        <v>0.23841125852160699</v>
      </c>
      <c r="V280" s="5">
        <v>0.15966171632399401</v>
      </c>
      <c r="W280" s="5">
        <v>3.33227753196935E-2</v>
      </c>
      <c r="X280" s="5">
        <v>6.9714539694728198E-2</v>
      </c>
      <c r="Y280" s="5">
        <v>0.254979066906244</v>
      </c>
      <c r="Z280" s="5">
        <v>-0.21691169190047099</v>
      </c>
      <c r="AA280" s="5">
        <v>0.30935465118382199</v>
      </c>
      <c r="AB280" s="5">
        <v>9.0746022026534506E-2</v>
      </c>
      <c r="AC280" s="5">
        <v>0.218824520308674</v>
      </c>
      <c r="AD280" s="5">
        <v>3.6047485892176601E-2</v>
      </c>
      <c r="AE280" s="5">
        <v>0.27563496469295401</v>
      </c>
      <c r="AF280" s="5">
        <v>0.23729991662203201</v>
      </c>
      <c r="AG280" s="5">
        <v>5.2778071767183798E-2</v>
      </c>
      <c r="AH280" s="5">
        <v>2.0690953940178301E-2</v>
      </c>
      <c r="AI280" s="5">
        <v>8.14201278079658E-2</v>
      </c>
      <c r="AJ280" s="5">
        <v>0.34900989711077801</v>
      </c>
      <c r="AK280" s="5">
        <v>-7.1197013769174006E-2</v>
      </c>
      <c r="AL280" s="5">
        <v>0.30465631042692198</v>
      </c>
      <c r="AM280" s="5">
        <v>-0.18926096446187701</v>
      </c>
      <c r="AN280" s="5">
        <v>-8.2276720684175797E-2</v>
      </c>
      <c r="AO280" s="5">
        <v>0.13248563431115301</v>
      </c>
      <c r="AP280" s="5">
        <v>-9.0466603874685497E-2</v>
      </c>
      <c r="AQ280" s="5">
        <v>0.117893203242203</v>
      </c>
      <c r="AR280" s="5">
        <v>0.311685933788105</v>
      </c>
      <c r="AS280" s="5">
        <v>-6.01355441826638E-2</v>
      </c>
      <c r="AT280" s="5">
        <v>0.40248811837404402</v>
      </c>
      <c r="AU280" s="5">
        <v>-0.245971297081399</v>
      </c>
      <c r="AV280" s="5">
        <v>0.37251805691677398</v>
      </c>
      <c r="AW280" s="5">
        <v>-3.3890145210184103E-2</v>
      </c>
      <c r="AX280" s="5">
        <v>0.32484138125338202</v>
      </c>
      <c r="AY280" s="5">
        <v>1.3440501089260299E-3</v>
      </c>
      <c r="AZ280" s="5">
        <v>8.4126526543982297E-3</v>
      </c>
      <c r="BA280" s="5">
        <v>8.8459995132993602E-2</v>
      </c>
      <c r="BB280" s="5">
        <v>0.147231610935319</v>
      </c>
      <c r="BC280" s="5">
        <v>0.21076363643489399</v>
      </c>
      <c r="BD280" s="5">
        <v>-3.96663365626998E-2</v>
      </c>
      <c r="BE280" s="5">
        <v>0.309385025124637</v>
      </c>
      <c r="BF280" s="5">
        <v>0.22996361323921399</v>
      </c>
      <c r="BG280" s="5">
        <v>9.7217785532098297E-2</v>
      </c>
      <c r="BH280" s="5">
        <v>7.9476008694828501E-2</v>
      </c>
      <c r="BI280" s="5">
        <v>0.252178449518693</v>
      </c>
      <c r="BJ280" s="5">
        <v>-0.170348006714582</v>
      </c>
      <c r="BK280" s="5">
        <v>6.8094886989918E-3</v>
      </c>
      <c r="BL280" s="5">
        <v>-0.23202980748343099</v>
      </c>
      <c r="BM280" s="5">
        <v>0.223893819926508</v>
      </c>
      <c r="BN280" s="5">
        <v>-0.13567927996716</v>
      </c>
      <c r="BO280" s="5">
        <v>0.163343034686178</v>
      </c>
      <c r="BP280" s="5">
        <v>-0.12137152286599399</v>
      </c>
      <c r="BQ280" s="5">
        <v>0.16243492667557199</v>
      </c>
      <c r="BR280" s="5">
        <v>6.9920498344842902E-2</v>
      </c>
      <c r="BS280" s="5">
        <v>0.21428806018586399</v>
      </c>
      <c r="BT280" s="5">
        <v>0.18074266804417599</v>
      </c>
      <c r="BU280" s="5">
        <v>0.18188169604018201</v>
      </c>
      <c r="BV280" s="5">
        <v>0.135103985402523</v>
      </c>
      <c r="BW280" s="5">
        <v>0.18475393831366299</v>
      </c>
      <c r="BX280" s="5">
        <v>0.118554731476116</v>
      </c>
      <c r="BY280" s="5">
        <v>0.16170992860137801</v>
      </c>
      <c r="BZ280" s="5">
        <v>0.24025599117559601</v>
      </c>
      <c r="CA280" s="5">
        <v>8.1724361666075301E-2</v>
      </c>
      <c r="CB280" s="5">
        <v>0.313397115793843</v>
      </c>
      <c r="CC280" s="5">
        <v>-0.102911078884093</v>
      </c>
      <c r="CD280" s="5">
        <v>-9.1603922562839904E-2</v>
      </c>
      <c r="CE280" s="5">
        <v>0.322437200743172</v>
      </c>
      <c r="CF280" s="5">
        <v>7.74399446122611E-2</v>
      </c>
      <c r="CG280" s="5">
        <v>0.13961575039156199</v>
      </c>
      <c r="CH280" s="5">
        <v>0.30870789179946601</v>
      </c>
      <c r="CI280" s="5">
        <v>-0.210382915107966</v>
      </c>
      <c r="CJ280" s="5">
        <v>0.25445327392642503</v>
      </c>
      <c r="CK280" s="5">
        <v>-0.107781523917462</v>
      </c>
      <c r="CL280" s="5">
        <v>-0.15734811229297399</v>
      </c>
      <c r="CM280" s="5">
        <v>0.21068165416183399</v>
      </c>
      <c r="CN280" s="5">
        <v>-0.17660968298374</v>
      </c>
      <c r="CO280" s="5">
        <v>0.24125772291922201</v>
      </c>
      <c r="CP280" s="5">
        <v>0.17716257139684799</v>
      </c>
      <c r="CQ280" s="5">
        <v>5.1345594993700998E-2</v>
      </c>
      <c r="CR280" s="5">
        <v>-6.9972904551806894E-2</v>
      </c>
      <c r="CS280" s="5">
        <v>0.17599359660441399</v>
      </c>
      <c r="CT280" s="5">
        <v>-0.19213864744762299</v>
      </c>
      <c r="CU280" s="5">
        <v>0.20438845198535899</v>
      </c>
      <c r="CV280" s="5">
        <v>1.0055046193500601E-2</v>
      </c>
      <c r="CW280" s="5">
        <v>0.13665045556245201</v>
      </c>
      <c r="CX280" s="5">
        <v>0.24208104168492101</v>
      </c>
      <c r="CY280" s="5">
        <v>7.9093477595364198E-2</v>
      </c>
      <c r="CZ280" s="5">
        <v>0.161696575975986</v>
      </c>
      <c r="DA280" s="5">
        <v>0.176474521956242</v>
      </c>
      <c r="DB280" s="5">
        <v>0.17624667817620199</v>
      </c>
      <c r="DC280" s="5">
        <v>0.110937996867188</v>
      </c>
      <c r="DD280" s="5">
        <v>0.19377339134059399</v>
      </c>
      <c r="DE280" s="5">
        <v>5.9856045366014098E-2</v>
      </c>
      <c r="DF280" s="5">
        <v>0.119452752904579</v>
      </c>
      <c r="DG280" s="5">
        <v>0.178736047015814</v>
      </c>
      <c r="DH280" s="5">
        <v>9.2071019299392695E-2</v>
      </c>
      <c r="DI280" s="5">
        <v>0.131036361586887</v>
      </c>
      <c r="DJ280" s="5">
        <v>-0.157943653303869</v>
      </c>
      <c r="DK280" s="5">
        <v>0.157072440806589</v>
      </c>
      <c r="DL280" s="5">
        <v>0.18668741866750199</v>
      </c>
      <c r="DM280" s="5">
        <v>0.121296774055953</v>
      </c>
      <c r="DN280" s="5">
        <v>-0.29585777988647999</v>
      </c>
      <c r="DO280" s="5">
        <v>0.24474749635035301</v>
      </c>
      <c r="DP280" s="5">
        <v>0.49348266362689602</v>
      </c>
      <c r="DQ280" s="5">
        <v>-0.33401868100855098</v>
      </c>
      <c r="DR280" s="5">
        <v>-8.5521618996809601E-2</v>
      </c>
      <c r="DS280" s="5">
        <v>0.22440795550946299</v>
      </c>
      <c r="DT280" s="5">
        <v>0.53724418524886797</v>
      </c>
      <c r="DU280" s="5">
        <v>-0.38305613889571599</v>
      </c>
      <c r="DV280" s="5">
        <v>1.45170498854476E-2</v>
      </c>
      <c r="DW280" s="5">
        <v>0.24327339606522699</v>
      </c>
      <c r="DX280" s="5">
        <v>-0.25827562499968698</v>
      </c>
      <c r="DY280" s="5">
        <v>0.29845936213337498</v>
      </c>
      <c r="DZ280" s="5">
        <v>-0.14028061416662899</v>
      </c>
      <c r="EA280" s="5">
        <v>0.20908782618917501</v>
      </c>
      <c r="EB280" s="5">
        <v>8.6587624978151298E-2</v>
      </c>
      <c r="EC280" s="5">
        <v>0.212005665308377</v>
      </c>
      <c r="ED280" s="5">
        <v>3.8822852862703199E-2</v>
      </c>
      <c r="EE280" s="5">
        <v>0.272646140664492</v>
      </c>
      <c r="EF280" s="5">
        <v>-0.117367923102809</v>
      </c>
      <c r="EG280" s="5">
        <v>0.21871990528024701</v>
      </c>
      <c r="EH280" s="5">
        <v>0.198403813268928</v>
      </c>
      <c r="EI280" s="5">
        <v>0.124941663826647</v>
      </c>
      <c r="EJ280" s="5">
        <v>0.21429993001939401</v>
      </c>
      <c r="EK280" s="5">
        <v>0.12014427960285</v>
      </c>
      <c r="EL280" s="5">
        <v>0.23092700677702299</v>
      </c>
      <c r="EM280" s="5">
        <v>7.2929849265766594E-2</v>
      </c>
      <c r="EN280" s="5">
        <v>0.20980381046630001</v>
      </c>
      <c r="EO280" s="5">
        <v>-8.5694794522816101E-2</v>
      </c>
      <c r="EP280" s="5">
        <v>0.102546647208931</v>
      </c>
      <c r="EQ280" s="5">
        <v>2.6271306975371899E-2</v>
      </c>
      <c r="ER280" s="5">
        <v>0.25131895156548401</v>
      </c>
      <c r="ES280" s="5">
        <v>3.1291308802344597E-2</v>
      </c>
      <c r="ET280" s="5">
        <v>7.4279675148054697E-2</v>
      </c>
      <c r="EU280" s="5">
        <v>0.17322930522070601</v>
      </c>
      <c r="EV280" s="5">
        <v>0.15834720123682999</v>
      </c>
      <c r="EW280" s="5">
        <v>0.108830248161452</v>
      </c>
      <c r="EX280" s="5">
        <v>0.302057070221805</v>
      </c>
      <c r="EY280" s="5">
        <v>-0.10081032566473801</v>
      </c>
      <c r="EZ280" s="5">
        <v>0.22921991391903801</v>
      </c>
      <c r="FA280" s="5">
        <v>6.2647886892234494E-2</v>
      </c>
      <c r="FB280" s="5">
        <v>-1.9229628164764299E-3</v>
      </c>
      <c r="FC280" s="5">
        <v>0.101539281931619</v>
      </c>
      <c r="FD280" s="5">
        <v>0.135300866632898</v>
      </c>
      <c r="FE280" s="5">
        <v>4.1715704832698403E-2</v>
      </c>
      <c r="FF280" s="5">
        <v>2.7128801518760098E-2</v>
      </c>
      <c r="FG280" s="5">
        <v>3.2338664479872103E-2</v>
      </c>
      <c r="FH280" s="5">
        <v>0.45287009041586701</v>
      </c>
      <c r="FI280" s="5">
        <v>-0.28585978274060603</v>
      </c>
      <c r="FJ280" s="5">
        <v>-1.60775942520529E-2</v>
      </c>
      <c r="FK280" s="5">
        <v>0.39389055641927101</v>
      </c>
      <c r="FL280" s="5">
        <v>-0.13332933740278999</v>
      </c>
      <c r="FM280" s="5">
        <v>0.14678938137435801</v>
      </c>
      <c r="FN280" s="5">
        <v>0.18005001439146001</v>
      </c>
      <c r="FO280" s="5">
        <v>4.8476755951992002E-2</v>
      </c>
      <c r="FP280" s="5">
        <v>0.37791912911004</v>
      </c>
      <c r="FQ280" s="5">
        <v>-0.21685900101751601</v>
      </c>
      <c r="FR280" s="5">
        <v>-9.6312053572627204E-2</v>
      </c>
      <c r="FS280" s="5">
        <v>-8.1780079667480594E-3</v>
      </c>
      <c r="FT280" s="5">
        <v>0.37566237545325498</v>
      </c>
      <c r="FU280" s="5">
        <v>-0.16113076968380499</v>
      </c>
      <c r="FV280" s="5">
        <v>7.6738618691084406E-2</v>
      </c>
      <c r="FW280" s="5">
        <v>7.3581574128736699E-2</v>
      </c>
      <c r="FX280" s="5">
        <v>0.16293482656689801</v>
      </c>
      <c r="FY280" s="5">
        <v>-5.2606147004164803E-3</v>
      </c>
      <c r="FZ280" s="5">
        <v>0.35492057347485401</v>
      </c>
      <c r="GA280" s="5">
        <v>-0.13032134585904701</v>
      </c>
      <c r="GB280" s="5">
        <v>-1.48597713135431E-2</v>
      </c>
      <c r="GC280" s="5">
        <v>0.17692625832322201</v>
      </c>
      <c r="GD280" s="5">
        <v>-1.4449504427231899E-2</v>
      </c>
      <c r="GE280" s="5">
        <v>1.91819867776289E-2</v>
      </c>
      <c r="GF280" s="5">
        <v>6.8074722712122795E-2</v>
      </c>
      <c r="GG280" s="5">
        <v>0.262725013075922</v>
      </c>
      <c r="GH280" s="5">
        <v>-6.7140516954611699E-3</v>
      </c>
      <c r="GI280" s="5">
        <v>-9.4005656975898993E-2</v>
      </c>
      <c r="GJ280" s="5">
        <v>0.21382158129616599</v>
      </c>
      <c r="GK280" s="5">
        <v>8.7174012140651902E-2</v>
      </c>
      <c r="GL280" s="5">
        <v>-9.8541618084870705E-2</v>
      </c>
      <c r="GM280" s="5">
        <v>0.19144596122858301</v>
      </c>
      <c r="GN280" s="5">
        <v>8.2827481035660802E-2</v>
      </c>
      <c r="GO280" s="5">
        <v>6.8459567622484896E-2</v>
      </c>
      <c r="GP280" s="5">
        <v>0.34638942778878201</v>
      </c>
      <c r="GQ280" s="5">
        <v>-0.13463453002349501</v>
      </c>
      <c r="GR280" s="5">
        <v>0.18560409700675501</v>
      </c>
      <c r="GS280" s="5">
        <v>4.9037184754681801E-2</v>
      </c>
      <c r="GT280" s="5">
        <v>0.31072027788362799</v>
      </c>
      <c r="GU280" s="5">
        <v>-0.20064898131960601</v>
      </c>
      <c r="GV280" s="5">
        <v>4.8963783888568597E-2</v>
      </c>
      <c r="GW280" s="5">
        <v>0.23777508259916399</v>
      </c>
      <c r="GX280" s="5">
        <v>0.15222856844275501</v>
      </c>
      <c r="GY280" s="5">
        <v>7.66242459166976E-2</v>
      </c>
      <c r="GZ280" s="5">
        <v>-0.21613071455226501</v>
      </c>
      <c r="HA280" s="5">
        <v>0.20765009038707399</v>
      </c>
      <c r="HB280" s="5">
        <v>0.20382995058982001</v>
      </c>
      <c r="HC280" s="5">
        <v>0.129836575592438</v>
      </c>
      <c r="HD280" s="5">
        <v>-2.1449195237125001E-2</v>
      </c>
      <c r="HE280" s="5">
        <v>0.323042849392432</v>
      </c>
      <c r="HF280" s="5">
        <v>-0.10314828966821001</v>
      </c>
      <c r="HG280" s="5">
        <v>0.114346999035076</v>
      </c>
      <c r="HH280" s="5">
        <v>-0.22054706047825801</v>
      </c>
      <c r="HI280" s="5">
        <v>0.30326655261643798</v>
      </c>
      <c r="HJ280" s="5">
        <v>-0.13407123278569899</v>
      </c>
      <c r="HK280" s="5">
        <v>0.13827285578003501</v>
      </c>
      <c r="HL280" s="5">
        <v>0.16069982858154699</v>
      </c>
      <c r="HM280" s="5">
        <v>0.147680223682399</v>
      </c>
      <c r="HN280" s="5">
        <v>-4.9685062648137301E-3</v>
      </c>
      <c r="HO280" s="5">
        <v>8.5988266084230006E-2</v>
      </c>
      <c r="HP280" s="5">
        <v>0.36025236299525698</v>
      </c>
      <c r="HQ280" s="5">
        <v>-4.35406904086173E-2</v>
      </c>
      <c r="HR280" s="5">
        <v>0.26089915637808297</v>
      </c>
      <c r="HS280" s="5">
        <v>1.3972080031183101E-2</v>
      </c>
      <c r="HT280" s="5">
        <v>-1.37794170961912E-2</v>
      </c>
      <c r="HU280" s="5">
        <v>0.11150983167680199</v>
      </c>
      <c r="HV280" s="5">
        <v>0.181738884012589</v>
      </c>
      <c r="HW280" s="5">
        <v>0.14113088968998999</v>
      </c>
      <c r="HX280" s="5">
        <v>0.23626238491976301</v>
      </c>
      <c r="HY280" s="5">
        <v>6.4361167722190804E-2</v>
      </c>
      <c r="HZ280" s="5">
        <v>-0.10392451354254099</v>
      </c>
      <c r="IA280" s="5">
        <v>0.13901668152298899</v>
      </c>
      <c r="IB280" s="5">
        <v>-0.15325203148272901</v>
      </c>
      <c r="IC280" s="5">
        <v>0.103889027268684</v>
      </c>
      <c r="ID280" s="5">
        <v>0.21436202571857699</v>
      </c>
      <c r="IE280" s="5">
        <v>0.16592376859104799</v>
      </c>
      <c r="IF280" s="5">
        <v>0.25826615723504898</v>
      </c>
      <c r="IG280" s="5">
        <v>8.1922417020192498E-2</v>
      </c>
      <c r="IH280" s="5">
        <v>-4.0773375590871803E-2</v>
      </c>
      <c r="II280" s="5">
        <v>0.14961973735329601</v>
      </c>
      <c r="IJ280" s="5">
        <v>0.24996982479511201</v>
      </c>
      <c r="IK280" s="5">
        <v>-0.12047783382975399</v>
      </c>
      <c r="IL280" s="5">
        <v>0.192645436174916</v>
      </c>
      <c r="IM280" s="5">
        <v>0.148813747670032</v>
      </c>
      <c r="IN280" s="5">
        <v>0.27820472593130802</v>
      </c>
      <c r="IO280" s="5">
        <v>2.53570480013195E-2</v>
      </c>
      <c r="IP280" s="5">
        <v>0.132490255899018</v>
      </c>
      <c r="IQ280" s="5">
        <v>0.26135933881729401</v>
      </c>
      <c r="IR280" s="5">
        <v>0.37311616254138202</v>
      </c>
      <c r="IS280" s="5">
        <v>-0.108538831142548</v>
      </c>
      <c r="IT280" s="5">
        <v>0.13417072272451899</v>
      </c>
      <c r="IU280" s="5">
        <v>0.185306425796742</v>
      </c>
      <c r="IV280" s="5">
        <v>5.0814256336274601E-3</v>
      </c>
      <c r="IW280" s="5">
        <v>0.32045035550488599</v>
      </c>
      <c r="IX280" s="5">
        <v>0.210375150791629</v>
      </c>
      <c r="IY280" s="5">
        <v>6.7265309948488394E-2</v>
      </c>
      <c r="IZ280" s="5">
        <v>-0.221753980872579</v>
      </c>
      <c r="JA280" s="5">
        <v>0.29109529888712798</v>
      </c>
      <c r="JB280" s="5">
        <v>-0.33971921883856598</v>
      </c>
      <c r="JC280" s="5">
        <v>0.28321991897043602</v>
      </c>
      <c r="JD280" s="5">
        <v>4.7590236979514998E-2</v>
      </c>
      <c r="JE280" s="5">
        <v>0.316337763020269</v>
      </c>
      <c r="JF280" s="5">
        <v>0.17168657973820001</v>
      </c>
      <c r="JG280" s="5">
        <v>-5.8987993709559101E-2</v>
      </c>
      <c r="JH280" s="5">
        <v>0.10183893799839699</v>
      </c>
      <c r="JI280" s="5">
        <v>-9.7839377085972304E-2</v>
      </c>
      <c r="JJ280" s="5">
        <v>0.19248711550384801</v>
      </c>
      <c r="JK280" s="5">
        <v>0.160154373064022</v>
      </c>
      <c r="JL280" s="5">
        <v>1.6598010298984601E-2</v>
      </c>
      <c r="JM280" s="5">
        <v>0.29848345984580399</v>
      </c>
      <c r="JN280" s="5">
        <v>2.2315914450633301E-2</v>
      </c>
      <c r="JO280" s="5">
        <v>0.21720468947531399</v>
      </c>
      <c r="JP280" s="5">
        <v>0.28626131630901702</v>
      </c>
      <c r="JQ280" s="5">
        <v>8.5970586515962802E-2</v>
      </c>
      <c r="JR280" s="5">
        <v>0.54885030064057705</v>
      </c>
      <c r="JS280" s="5">
        <v>-0.31636161012668201</v>
      </c>
      <c r="JT280" s="5">
        <v>1</v>
      </c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</row>
    <row r="281" spans="1:389" x14ac:dyDescent="0.45">
      <c r="A281" s="4" t="str">
        <f ca="1">"PLW / beta2dist in "&amp;CELL("address",'damages-1990'!$K$141)</f>
        <v>PLW / beta2dist in '[BHM betas v3pd.xlsx]damages-1990'!$K$141</v>
      </c>
      <c r="B281" s="6">
        <v>6.6471501679178403E-3</v>
      </c>
      <c r="C281" s="5">
        <v>-1.8592902400853598E-2</v>
      </c>
      <c r="D281" s="5">
        <v>0.138488991818838</v>
      </c>
      <c r="E281" s="5">
        <v>-0.188206438527561</v>
      </c>
      <c r="F281" s="5">
        <v>1.89525025786394E-2</v>
      </c>
      <c r="G281" s="5">
        <v>8.8838754942391698E-3</v>
      </c>
      <c r="H281" s="5">
        <v>0.105786673900345</v>
      </c>
      <c r="I281" s="5">
        <v>-0.12855854281982099</v>
      </c>
      <c r="J281" s="5">
        <v>-5.6101721192784601E-2</v>
      </c>
      <c r="K281" s="5">
        <v>8.9917878015918301E-2</v>
      </c>
      <c r="L281" s="5">
        <v>-0.11137678602315899</v>
      </c>
      <c r="M281" s="5">
        <v>0.18776157733558099</v>
      </c>
      <c r="N281" s="5">
        <v>9.0402515241989098E-2</v>
      </c>
      <c r="O281" s="5">
        <v>-0.13395831304453901</v>
      </c>
      <c r="P281" s="5">
        <v>0.21816349592960599</v>
      </c>
      <c r="Q281" s="5">
        <v>-0.14787294370824999</v>
      </c>
      <c r="R281" s="5">
        <v>9.79788881691286E-2</v>
      </c>
      <c r="S281" s="5">
        <v>-0.18807509838842501</v>
      </c>
      <c r="T281" s="5">
        <v>0.16779830460911699</v>
      </c>
      <c r="U281" s="5">
        <v>-0.214831943285065</v>
      </c>
      <c r="V281" s="5">
        <v>-6.2155930027033603E-2</v>
      </c>
      <c r="W281" s="5">
        <v>0.107960377257033</v>
      </c>
      <c r="X281" s="5">
        <v>0.18733658449058499</v>
      </c>
      <c r="Y281" s="5">
        <v>-0.22060244648990901</v>
      </c>
      <c r="Z281" s="5">
        <v>0.227974505084197</v>
      </c>
      <c r="AA281" s="5">
        <v>-0.279647331043059</v>
      </c>
      <c r="AB281" s="5">
        <v>9.9416974681723599E-2</v>
      </c>
      <c r="AC281" s="5">
        <v>-0.134195170024939</v>
      </c>
      <c r="AD281" s="5">
        <v>0.108924839606256</v>
      </c>
      <c r="AE281" s="5">
        <v>-0.142348257319169</v>
      </c>
      <c r="AF281" s="5">
        <v>-7.8317956581481898E-2</v>
      </c>
      <c r="AG281" s="5">
        <v>4.1499519593691497E-2</v>
      </c>
      <c r="AH281" s="5">
        <v>4.1363004721915099E-2</v>
      </c>
      <c r="AI281" s="5">
        <v>-2.5256506320687402E-2</v>
      </c>
      <c r="AJ281" s="5">
        <v>-0.21247492281802699</v>
      </c>
      <c r="AK281" s="5">
        <v>0.2285665476955</v>
      </c>
      <c r="AL281" s="5">
        <v>-1.22987314719438E-2</v>
      </c>
      <c r="AM281" s="5">
        <v>3.6987423407040303E-2</v>
      </c>
      <c r="AN281" s="5">
        <v>7.8707714893159905E-2</v>
      </c>
      <c r="AO281" s="5">
        <v>-6.9070496816922594E-2</v>
      </c>
      <c r="AP281" s="5">
        <v>-3.7503252902597498E-2</v>
      </c>
      <c r="AQ281" s="5">
        <v>1.44085537954607E-2</v>
      </c>
      <c r="AR281" s="5">
        <v>-2.5391545704001098E-2</v>
      </c>
      <c r="AS281" s="5">
        <v>-5.7450239716691004E-3</v>
      </c>
      <c r="AT281" s="5">
        <v>-0.20203934060255599</v>
      </c>
      <c r="AU281" s="5">
        <v>0.199305654731325</v>
      </c>
      <c r="AV281" s="5">
        <v>-0.118924032284909</v>
      </c>
      <c r="AW281" s="5">
        <v>8.7394507006557501E-2</v>
      </c>
      <c r="AX281" s="5">
        <v>-4.4602615390240997E-2</v>
      </c>
      <c r="AY281" s="5">
        <v>3.8843232307347198E-3</v>
      </c>
      <c r="AZ281" s="5">
        <v>5.20431856883053E-2</v>
      </c>
      <c r="BA281" s="5">
        <v>3.46788693230193E-2</v>
      </c>
      <c r="BB281" s="5">
        <v>0.11817058590084099</v>
      </c>
      <c r="BC281" s="5">
        <v>-0.15257905677728401</v>
      </c>
      <c r="BD281" s="5">
        <v>5.3353462550766999E-2</v>
      </c>
      <c r="BE281" s="5">
        <v>-8.4411145867902201E-2</v>
      </c>
      <c r="BF281" s="5">
        <v>-1.9214708841184799E-2</v>
      </c>
      <c r="BG281" s="5">
        <v>-5.8418200174373699E-2</v>
      </c>
      <c r="BH281" s="5">
        <v>0.16881047912237299</v>
      </c>
      <c r="BI281" s="5">
        <v>-0.18139365029933499</v>
      </c>
      <c r="BJ281" s="5">
        <v>-4.4545088807952798E-2</v>
      </c>
      <c r="BK281" s="5">
        <v>6.5612276235037501E-2</v>
      </c>
      <c r="BL281" s="5">
        <v>0.196928862213851</v>
      </c>
      <c r="BM281" s="5">
        <v>-0.24568709319434401</v>
      </c>
      <c r="BN281" s="5">
        <v>7.2014998112384904E-2</v>
      </c>
      <c r="BO281" s="5">
        <v>-8.0143420121861306E-2</v>
      </c>
      <c r="BP281" s="5">
        <v>3.30635766261504E-2</v>
      </c>
      <c r="BQ281" s="5">
        <v>-5.6487147219189002E-2</v>
      </c>
      <c r="BR281" s="5">
        <v>0.106073304844615</v>
      </c>
      <c r="BS281" s="5">
        <v>-0.115030900465106</v>
      </c>
      <c r="BT281" s="5">
        <v>8.0625936768035006E-2</v>
      </c>
      <c r="BU281" s="5">
        <v>-0.116294071538931</v>
      </c>
      <c r="BV281" s="5">
        <v>0.14157847496635001</v>
      </c>
      <c r="BW281" s="5">
        <v>-0.146550844003105</v>
      </c>
      <c r="BX281" s="5">
        <v>0.14343979364596099</v>
      </c>
      <c r="BY281" s="5">
        <v>-0.13616901366190401</v>
      </c>
      <c r="BZ281" s="5">
        <v>6.8044320753253597E-3</v>
      </c>
      <c r="CA281" s="5">
        <v>-5.2100099499895698E-2</v>
      </c>
      <c r="CB281" s="5">
        <v>-5.6684183590366102E-2</v>
      </c>
      <c r="CC281" s="5">
        <v>5.0092316771522899E-2</v>
      </c>
      <c r="CD281" s="5">
        <v>0.202009392112072</v>
      </c>
      <c r="CE281" s="5">
        <v>-0.25175704759721901</v>
      </c>
      <c r="CF281" s="5">
        <v>9.1290132403561097E-2</v>
      </c>
      <c r="CG281" s="5">
        <v>-0.118885383911796</v>
      </c>
      <c r="CH281" s="5">
        <v>8.4403506448380294E-3</v>
      </c>
      <c r="CI281" s="5">
        <v>2.71393045821068E-2</v>
      </c>
      <c r="CJ281" s="5">
        <v>-0.17538910118693701</v>
      </c>
      <c r="CK281" s="5">
        <v>0.197782668559883</v>
      </c>
      <c r="CL281" s="5">
        <v>0.13231966541317</v>
      </c>
      <c r="CM281" s="5">
        <v>-0.182172395826106</v>
      </c>
      <c r="CN281" s="5">
        <v>0.163654118109406</v>
      </c>
      <c r="CO281" s="5">
        <v>-0.21024767057497601</v>
      </c>
      <c r="CP281" s="5">
        <v>-0.141082267886489</v>
      </c>
      <c r="CQ281" s="5">
        <v>0.124718966866553</v>
      </c>
      <c r="CR281" s="5">
        <v>0.145935783098253</v>
      </c>
      <c r="CS281" s="5">
        <v>-5.9192047957369903E-2</v>
      </c>
      <c r="CT281" s="5">
        <v>0.13545727991443501</v>
      </c>
      <c r="CU281" s="5">
        <v>-0.14698272670541099</v>
      </c>
      <c r="CV281" s="5">
        <v>0.19151603506737799</v>
      </c>
      <c r="CW281" s="5">
        <v>-0.13807225242392701</v>
      </c>
      <c r="CX281" s="5">
        <v>-7.6315886322884705E-2</v>
      </c>
      <c r="CY281" s="5">
        <v>5.46415075430427E-2</v>
      </c>
      <c r="CZ281" s="5">
        <v>9.9343657429971005E-2</v>
      </c>
      <c r="DA281" s="5">
        <v>-0.198494337176189</v>
      </c>
      <c r="DB281" s="5">
        <v>-1.71470797583359E-2</v>
      </c>
      <c r="DC281" s="5">
        <v>3.8730529334393103E-2</v>
      </c>
      <c r="DD281" s="5">
        <v>-0.15449802288931</v>
      </c>
      <c r="DE281" s="5">
        <v>0.15102871246239</v>
      </c>
      <c r="DF281" s="5">
        <v>5.4204204607072502E-2</v>
      </c>
      <c r="DG281" s="5">
        <v>-9.7576693076699694E-2</v>
      </c>
      <c r="DH281" s="5">
        <v>4.7911814684384203E-3</v>
      </c>
      <c r="DI281" s="5">
        <v>-4.18336479069468E-3</v>
      </c>
      <c r="DJ281" s="5">
        <v>6.6774634198723901E-3</v>
      </c>
      <c r="DK281" s="5">
        <v>-2.38828809345739E-2</v>
      </c>
      <c r="DL281" s="5">
        <v>-2.6667891257360202E-2</v>
      </c>
      <c r="DM281" s="5">
        <v>2.6646299424556898E-2</v>
      </c>
      <c r="DN281" s="5">
        <v>0.104258746722683</v>
      </c>
      <c r="DO281" s="5">
        <v>-0.11328690301086</v>
      </c>
      <c r="DP281" s="5">
        <v>-0.25039118687876399</v>
      </c>
      <c r="DQ281" s="5">
        <v>0.318335759491016</v>
      </c>
      <c r="DR281" s="5">
        <v>0.128410733960685</v>
      </c>
      <c r="DS281" s="5">
        <v>-0.155970075412632</v>
      </c>
      <c r="DT281" s="5">
        <v>-0.473719658127562</v>
      </c>
      <c r="DU281" s="5">
        <v>0.49191323485623101</v>
      </c>
      <c r="DV281" s="5">
        <v>0.22068632733326299</v>
      </c>
      <c r="DW281" s="5">
        <v>-0.23889793202738699</v>
      </c>
      <c r="DX281" s="5">
        <v>0.181965051088953</v>
      </c>
      <c r="DY281" s="5">
        <v>-0.20597141133155</v>
      </c>
      <c r="DZ281" s="5">
        <v>0.15947060507645</v>
      </c>
      <c r="EA281" s="5">
        <v>-0.242635283458428</v>
      </c>
      <c r="EB281" s="5">
        <v>9.9556707417194107E-2</v>
      </c>
      <c r="EC281" s="5">
        <v>-0.117314233541776</v>
      </c>
      <c r="ED281" s="5">
        <v>0.170754557127516</v>
      </c>
      <c r="EE281" s="5">
        <v>-0.180345237067776</v>
      </c>
      <c r="EF281" s="5">
        <v>0.16808558444639801</v>
      </c>
      <c r="EG281" s="5">
        <v>-9.1179387511547805E-2</v>
      </c>
      <c r="EH281" s="5">
        <v>6.3468795616126302E-3</v>
      </c>
      <c r="EI281" s="5">
        <v>-1.50266187951446E-2</v>
      </c>
      <c r="EJ281" s="5">
        <v>-2.4240926741831901E-2</v>
      </c>
      <c r="EK281" s="5">
        <v>1.3571270216897299E-3</v>
      </c>
      <c r="EL281" s="5">
        <v>7.2799551901786094E-2</v>
      </c>
      <c r="EM281" s="5">
        <v>-9.7392793710482706E-2</v>
      </c>
      <c r="EN281" s="5">
        <v>-6.6631118022180594E-2</v>
      </c>
      <c r="EO281" s="5">
        <v>0.109683109766334</v>
      </c>
      <c r="EP281" s="5">
        <v>9.6098075473416596E-3</v>
      </c>
      <c r="EQ281" s="5">
        <v>5.0908095154483197E-2</v>
      </c>
      <c r="ER281" s="5">
        <v>3.9973056245238898E-2</v>
      </c>
      <c r="ES281" s="5">
        <v>-7.3783810543645897E-2</v>
      </c>
      <c r="ET281" s="5">
        <v>0.179066130683595</v>
      </c>
      <c r="EU281" s="5">
        <v>-0.194770177969571</v>
      </c>
      <c r="EV281" s="5">
        <v>4.2003698425961397E-2</v>
      </c>
      <c r="EW281" s="5">
        <v>-7.4536582860732406E-2</v>
      </c>
      <c r="EX281" s="5">
        <v>-6.5369686393533993E-2</v>
      </c>
      <c r="EY281" s="5">
        <v>8.0389598591862205E-2</v>
      </c>
      <c r="EZ281" s="5">
        <v>1.43206742469516E-2</v>
      </c>
      <c r="FA281" s="5">
        <v>-3.9566191702532401E-2</v>
      </c>
      <c r="FB281" s="5">
        <v>5.6455968410669397E-2</v>
      </c>
      <c r="FC281" s="5">
        <v>-2.4964135888382599E-2</v>
      </c>
      <c r="FD281" s="5">
        <v>0.121259828197291</v>
      </c>
      <c r="FE281" s="5">
        <v>-8.8240231805744695E-2</v>
      </c>
      <c r="FF281" s="5">
        <v>-1.71228971741668E-5</v>
      </c>
      <c r="FG281" s="5">
        <v>4.3473646490065999E-2</v>
      </c>
      <c r="FH281" s="5">
        <v>-0.130313802137106</v>
      </c>
      <c r="FI281" s="5">
        <v>0.223285964457691</v>
      </c>
      <c r="FJ281" s="5">
        <v>0.2213508512723</v>
      </c>
      <c r="FK281" s="5">
        <v>-0.28101210559529499</v>
      </c>
      <c r="FL281" s="5">
        <v>5.8137412825687802E-2</v>
      </c>
      <c r="FM281" s="5">
        <v>-4.27307257342684E-2</v>
      </c>
      <c r="FN281" s="5">
        <v>-6.1391870129573201E-2</v>
      </c>
      <c r="FO281" s="5">
        <v>0.12923436419008999</v>
      </c>
      <c r="FP281" s="5">
        <v>-0.23815438342605699</v>
      </c>
      <c r="FQ281" s="5">
        <v>0.36357693039808697</v>
      </c>
      <c r="FR281" s="5">
        <v>9.3639987603569896E-2</v>
      </c>
      <c r="FS281" s="5">
        <v>-3.0664910188844E-2</v>
      </c>
      <c r="FT281" s="5">
        <v>-0.24356212983216699</v>
      </c>
      <c r="FU281" s="5">
        <v>0.313289392898848</v>
      </c>
      <c r="FV281" s="5">
        <v>2.5406410638405499E-2</v>
      </c>
      <c r="FW281" s="5">
        <v>1.95498949739914E-2</v>
      </c>
      <c r="FX281" s="5">
        <v>7.9972446255124993E-2</v>
      </c>
      <c r="FY281" s="5">
        <v>-3.0719847948069499E-2</v>
      </c>
      <c r="FZ281" s="5">
        <v>-0.194074705756275</v>
      </c>
      <c r="GA281" s="5">
        <v>0.27858870362358201</v>
      </c>
      <c r="GB281" s="5">
        <v>6.1160215901165001E-2</v>
      </c>
      <c r="GC281" s="5">
        <v>-6.8287672948064398E-2</v>
      </c>
      <c r="GD281" s="5">
        <v>-8.5962648295909494E-2</v>
      </c>
      <c r="GE281" s="5">
        <v>8.8613547690220298E-2</v>
      </c>
      <c r="GF281" s="5">
        <v>0.18240259830646799</v>
      </c>
      <c r="GG281" s="5">
        <v>-0.20068610986891899</v>
      </c>
      <c r="GH281" s="5">
        <v>-5.4345407268052003E-2</v>
      </c>
      <c r="GI281" s="5">
        <v>4.4816011698240399E-2</v>
      </c>
      <c r="GJ281" s="5">
        <v>3.5961073143429598E-2</v>
      </c>
      <c r="GK281" s="5">
        <v>-0.111543728945285</v>
      </c>
      <c r="GL281" s="5">
        <v>0.13391843661282701</v>
      </c>
      <c r="GM281" s="5">
        <v>-5.0487604558610698E-2</v>
      </c>
      <c r="GN281" s="5">
        <v>-2.3108396842503199E-2</v>
      </c>
      <c r="GO281" s="5">
        <v>5.8337366642895697E-2</v>
      </c>
      <c r="GP281" s="5">
        <v>-0.18823247327711601</v>
      </c>
      <c r="GQ281" s="5">
        <v>0.269101755904679</v>
      </c>
      <c r="GR281" s="5">
        <v>6.1898537694661797E-2</v>
      </c>
      <c r="GS281" s="5">
        <v>-5.5604048821772299E-2</v>
      </c>
      <c r="GT281" s="5">
        <v>-0.20573674967216199</v>
      </c>
      <c r="GU281" s="5">
        <v>0.33354100360844502</v>
      </c>
      <c r="GV281" s="5">
        <v>0.21452274880022601</v>
      </c>
      <c r="GW281" s="5">
        <v>-0.25549200604316502</v>
      </c>
      <c r="GX281" s="5">
        <v>5.3742299674801996E-3</v>
      </c>
      <c r="GY281" s="5">
        <v>2.72720376755387E-2</v>
      </c>
      <c r="GZ281" s="5">
        <v>0.17617369930827001</v>
      </c>
      <c r="HA281" s="5">
        <v>-0.21976249013041299</v>
      </c>
      <c r="HB281" s="5">
        <v>0.10871960127647</v>
      </c>
      <c r="HC281" s="5">
        <v>-0.184946294553266</v>
      </c>
      <c r="HD281" s="5">
        <v>6.96910821565105E-2</v>
      </c>
      <c r="HE281" s="5">
        <v>-0.118839134043287</v>
      </c>
      <c r="HF281" s="5">
        <v>-2.3222321287219402E-2</v>
      </c>
      <c r="HG281" s="5">
        <v>9.0546593193897608E-3</v>
      </c>
      <c r="HH281" s="5">
        <v>0.22556420127132601</v>
      </c>
      <c r="HI281" s="5">
        <v>-0.28538286868467999</v>
      </c>
      <c r="HJ281" s="5">
        <v>1.45203828136087E-3</v>
      </c>
      <c r="HK281" s="5">
        <v>-1.89496739529691E-2</v>
      </c>
      <c r="HL281" s="5">
        <v>-1.1118925976702901E-2</v>
      </c>
      <c r="HM281" s="5">
        <v>-1.9902147726547002E-2</v>
      </c>
      <c r="HN281" s="5">
        <v>1.52717425624611E-2</v>
      </c>
      <c r="HO281" s="5">
        <v>-4.73245946299637E-3</v>
      </c>
      <c r="HP281" s="5">
        <v>-0.163074019138817</v>
      </c>
      <c r="HQ281" s="5">
        <v>0.179648244360684</v>
      </c>
      <c r="HR281" s="5">
        <v>2.9742734592147001E-2</v>
      </c>
      <c r="HS281" s="5">
        <v>-3.2960309306084699E-2</v>
      </c>
      <c r="HT281" s="5">
        <v>4.89079842769704E-2</v>
      </c>
      <c r="HU281" s="5">
        <v>-3.6729467884418901E-2</v>
      </c>
      <c r="HV281" s="5">
        <v>-1.7815384444962699E-2</v>
      </c>
      <c r="HW281" s="5">
        <v>-1.07338685570406E-2</v>
      </c>
      <c r="HX281" s="5">
        <v>9.5583251285989695E-3</v>
      </c>
      <c r="HY281" s="5">
        <v>5.0230153330001297E-3</v>
      </c>
      <c r="HZ281" s="5">
        <v>8.0715301386620794E-2</v>
      </c>
      <c r="IA281" s="5">
        <v>-8.6285666811257905E-2</v>
      </c>
      <c r="IB281" s="5">
        <v>4.5317117339303999E-2</v>
      </c>
      <c r="IC281" s="5">
        <v>-5.8031761876962198E-2</v>
      </c>
      <c r="ID281" s="5">
        <v>4.0931108882151797E-2</v>
      </c>
      <c r="IE281" s="5">
        <v>-0.112718198015509</v>
      </c>
      <c r="IF281" s="5">
        <v>-5.09921292780205E-2</v>
      </c>
      <c r="IG281" s="5">
        <v>2.68912383288607E-2</v>
      </c>
      <c r="IH281" s="5">
        <v>0.115422047710866</v>
      </c>
      <c r="II281" s="5">
        <v>-2.9554295898484201E-2</v>
      </c>
      <c r="IJ281" s="5">
        <v>-3.4854655192568001E-2</v>
      </c>
      <c r="IK281" s="5">
        <v>3.3319413389863502E-2</v>
      </c>
      <c r="IL281" s="5">
        <v>5.3897001719656799E-2</v>
      </c>
      <c r="IM281" s="5">
        <v>-0.101352483314727</v>
      </c>
      <c r="IN281" s="5">
        <v>2.2993926161871601E-2</v>
      </c>
      <c r="IO281" s="5">
        <v>-2.30137116314242E-2</v>
      </c>
      <c r="IP281" s="5">
        <v>0.125678713527763</v>
      </c>
      <c r="IQ281" s="5">
        <v>-0.230459078331296</v>
      </c>
      <c r="IR281" s="5">
        <v>-0.21538465077705199</v>
      </c>
      <c r="IS281" s="5">
        <v>0.142893728848938</v>
      </c>
      <c r="IT281" s="5">
        <v>2.4294033015777199E-2</v>
      </c>
      <c r="IU281" s="5">
        <v>-5.4568339628444998E-2</v>
      </c>
      <c r="IV281" s="5">
        <v>0.170997078877442</v>
      </c>
      <c r="IW281" s="5">
        <v>-0.22694983847753</v>
      </c>
      <c r="IX281" s="5">
        <v>-2.7778153853853498E-3</v>
      </c>
      <c r="IY281" s="5">
        <v>-3.4239901781563602E-2</v>
      </c>
      <c r="IZ281" s="5">
        <v>0.238777543202116</v>
      </c>
      <c r="JA281" s="5">
        <v>-0.28092473151358699</v>
      </c>
      <c r="JB281" s="5">
        <v>0.147406364717244</v>
      </c>
      <c r="JC281" s="5">
        <v>-0.153959750169713</v>
      </c>
      <c r="JD281" s="5">
        <v>8.4450765427658402E-3</v>
      </c>
      <c r="JE281" s="5">
        <v>-5.8377476982343898E-2</v>
      </c>
      <c r="JF281" s="5">
        <v>-5.51175878441631E-3</v>
      </c>
      <c r="JG281" s="5">
        <v>3.4543547162047002E-2</v>
      </c>
      <c r="JH281" s="5">
        <v>-8.4448466506172604E-2</v>
      </c>
      <c r="JI281" s="5">
        <v>0.14188283784499101</v>
      </c>
      <c r="JJ281" s="5">
        <v>-9.3556451799420293E-3</v>
      </c>
      <c r="JK281" s="5">
        <v>9.7337430934831496E-3</v>
      </c>
      <c r="JL281" s="5">
        <v>0.101213551464583</v>
      </c>
      <c r="JM281" s="5">
        <v>-0.112796865187658</v>
      </c>
      <c r="JN281" s="5">
        <v>0.21612609135159599</v>
      </c>
      <c r="JO281" s="5">
        <v>-0.24536600633128799</v>
      </c>
      <c r="JP281" s="5">
        <v>-3.8116660611608802E-2</v>
      </c>
      <c r="JQ281" s="5">
        <v>-8.0113468705288703E-3</v>
      </c>
      <c r="JR281" s="5">
        <v>-0.30860659480019698</v>
      </c>
      <c r="JS281" s="5">
        <v>0.40758580620747198</v>
      </c>
      <c r="JT281" s="5">
        <v>-0.839148751656702</v>
      </c>
      <c r="JU281" s="5">
        <v>1</v>
      </c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</row>
    <row r="282" spans="1:389" x14ac:dyDescent="0.45">
      <c r="A282" s="4" t="str">
        <f ca="1">"PNG / beta1dist in "&amp;CELL("address",'damages-1990'!$J$142)</f>
        <v>PNG / beta1dist in '[BHM betas v3pd.xlsx]damages-1990'!$J$142</v>
      </c>
      <c r="B282" s="6">
        <v>0.23282149719926901</v>
      </c>
      <c r="C282" s="5">
        <v>0.22111704055179601</v>
      </c>
      <c r="D282" s="5">
        <v>0.43729688680405399</v>
      </c>
      <c r="E282" s="5">
        <v>9.9365804213779205E-2</v>
      </c>
      <c r="F282" s="5">
        <v>0.13558281444443501</v>
      </c>
      <c r="G282" s="5">
        <v>0.15620276147148099</v>
      </c>
      <c r="H282" s="5">
        <v>-0.16183844119398599</v>
      </c>
      <c r="I282" s="5">
        <v>0.13500844582016999</v>
      </c>
      <c r="J282" s="5">
        <v>0.627602905334538</v>
      </c>
      <c r="K282" s="5">
        <v>-0.18651382575292999</v>
      </c>
      <c r="L282" s="5">
        <v>0.52397487783129904</v>
      </c>
      <c r="M282" s="5">
        <v>-0.16807333059548399</v>
      </c>
      <c r="N282" s="5">
        <v>-0.114756398932919</v>
      </c>
      <c r="O282" s="5">
        <v>0.126519232178639</v>
      </c>
      <c r="P282" s="5">
        <v>0.13818823586566401</v>
      </c>
      <c r="Q282" s="5">
        <v>0.13022939213507001</v>
      </c>
      <c r="R282" s="5">
        <v>0.61343772348148895</v>
      </c>
      <c r="S282" s="5">
        <v>-0.12364734035455401</v>
      </c>
      <c r="T282" s="5">
        <v>-0.13437504039381601</v>
      </c>
      <c r="U282" s="5">
        <v>0.16604973508967699</v>
      </c>
      <c r="V282" s="5">
        <v>0.16281766887309401</v>
      </c>
      <c r="W282" s="5">
        <v>0.31291369566246002</v>
      </c>
      <c r="X282" s="5">
        <v>0.40005365082834399</v>
      </c>
      <c r="Y282" s="5">
        <v>9.6291617920141598E-2</v>
      </c>
      <c r="Z282" s="5">
        <v>-5.9336109877890397E-2</v>
      </c>
      <c r="AA282" s="5">
        <v>0.20294162410498601</v>
      </c>
      <c r="AB282" s="5">
        <v>0.55578886626938995</v>
      </c>
      <c r="AC282" s="5">
        <v>-0.15727972039839799</v>
      </c>
      <c r="AD282" s="5">
        <v>0.42216045109773398</v>
      </c>
      <c r="AE282" s="5">
        <v>1.96637926879977E-2</v>
      </c>
      <c r="AF282" s="5">
        <v>0.36919377998955399</v>
      </c>
      <c r="AG282" s="5">
        <v>2.1584051777997298E-2</v>
      </c>
      <c r="AH282" s="5">
        <v>3.2753851320891397E-2</v>
      </c>
      <c r="AI282" s="5">
        <v>0.212515729230496</v>
      </c>
      <c r="AJ282" s="5">
        <v>0.57618302617869899</v>
      </c>
      <c r="AK282" s="5">
        <v>-0.14167618687446601</v>
      </c>
      <c r="AL282" s="5">
        <v>0.465359840467029</v>
      </c>
      <c r="AM282" s="5">
        <v>-0.227040317659536</v>
      </c>
      <c r="AN282" s="5">
        <v>-4.0686636406408197E-2</v>
      </c>
      <c r="AO282" s="5">
        <v>0.192619406432744</v>
      </c>
      <c r="AP282" s="5">
        <v>-0.22986245750846299</v>
      </c>
      <c r="AQ282" s="5">
        <v>0.29351050009027202</v>
      </c>
      <c r="AR282" s="5">
        <v>0.50214388406930099</v>
      </c>
      <c r="AS282" s="5">
        <v>-0.12663235868894701</v>
      </c>
      <c r="AT282" s="5">
        <v>0.54783007970992603</v>
      </c>
      <c r="AU282" s="5">
        <v>-0.33884311045627402</v>
      </c>
      <c r="AV282" s="5">
        <v>0.68202282728669505</v>
      </c>
      <c r="AW282" s="5">
        <v>-0.22464945419768401</v>
      </c>
      <c r="AX282" s="5">
        <v>0.64752190269651499</v>
      </c>
      <c r="AY282" s="5">
        <v>-0.19522576219538099</v>
      </c>
      <c r="AZ282" s="5">
        <v>0.32571769884114399</v>
      </c>
      <c r="BA282" s="5">
        <v>-7.6824788776909694E-2</v>
      </c>
      <c r="BB282" s="5">
        <v>0.51047843671272697</v>
      </c>
      <c r="BC282" s="5">
        <v>2.2539486664365602E-2</v>
      </c>
      <c r="BD282" s="5">
        <v>4.6402858659613903E-2</v>
      </c>
      <c r="BE282" s="5">
        <v>0.39731502744295399</v>
      </c>
      <c r="BF282" s="5">
        <v>0.46139970168816702</v>
      </c>
      <c r="BG282" s="5">
        <v>-5.24641481579909E-2</v>
      </c>
      <c r="BH282" s="5">
        <v>0.54635846283799505</v>
      </c>
      <c r="BI282" s="5">
        <v>-7.6974906151043396E-2</v>
      </c>
      <c r="BJ282" s="5">
        <v>-0.37364837907151</v>
      </c>
      <c r="BK282" s="5">
        <v>0.21936600505159601</v>
      </c>
      <c r="BL282" s="5">
        <v>-0.12681111666353001</v>
      </c>
      <c r="BM282" s="5">
        <v>0.12873327945221999</v>
      </c>
      <c r="BN282" s="5">
        <v>-0.25519536943541798</v>
      </c>
      <c r="BO282" s="5">
        <v>0.402858633010445</v>
      </c>
      <c r="BP282" s="5">
        <v>-0.26796594879379398</v>
      </c>
      <c r="BQ282" s="5">
        <v>0.44597182017479903</v>
      </c>
      <c r="BR282" s="5">
        <v>0.41438741866608497</v>
      </c>
      <c r="BS282" s="5">
        <v>-7.9223111708868199E-3</v>
      </c>
      <c r="BT282" s="5">
        <v>0.62716285322906695</v>
      </c>
      <c r="BU282" s="5">
        <v>-0.14667692835988799</v>
      </c>
      <c r="BV282" s="5">
        <v>0.50855863643308497</v>
      </c>
      <c r="BW282" s="5">
        <v>-7.9403577981083402E-3</v>
      </c>
      <c r="BX282" s="5">
        <v>0.56573447795723997</v>
      </c>
      <c r="BY282" s="5">
        <v>-0.13157789308683501</v>
      </c>
      <c r="BZ282" s="5">
        <v>0.57632700667741898</v>
      </c>
      <c r="CA282" s="5">
        <v>-0.114344983348993</v>
      </c>
      <c r="CB282" s="5">
        <v>0.409262983693994</v>
      </c>
      <c r="CC282" s="5">
        <v>-0.104259874503974</v>
      </c>
      <c r="CD282" s="5">
        <v>0.18351077902989399</v>
      </c>
      <c r="CE282" s="5">
        <v>0.106281268893836</v>
      </c>
      <c r="CF282" s="5">
        <v>0.35172927761680001</v>
      </c>
      <c r="CG282" s="5">
        <v>-3.60059719873023E-2</v>
      </c>
      <c r="CH282" s="5">
        <v>0.46455582339351298</v>
      </c>
      <c r="CI282" s="5">
        <v>-0.23454752632645801</v>
      </c>
      <c r="CJ282" s="5">
        <v>0.18343272022541901</v>
      </c>
      <c r="CK282" s="5">
        <v>0.13512225249530199</v>
      </c>
      <c r="CL282" s="5">
        <v>-9.8542866519098105E-2</v>
      </c>
      <c r="CM282" s="5">
        <v>0.18275523045164899</v>
      </c>
      <c r="CN282" s="5">
        <v>-8.8426980744248707E-2</v>
      </c>
      <c r="CO282" s="5">
        <v>0.20462341240888601</v>
      </c>
      <c r="CP282" s="5">
        <v>0.404690645574797</v>
      </c>
      <c r="CQ282" s="5">
        <v>-7.3536882266607304E-2</v>
      </c>
      <c r="CR282" s="5">
        <v>0.17320492696512299</v>
      </c>
      <c r="CS282" s="5">
        <v>0.106134872937533</v>
      </c>
      <c r="CT282" s="5">
        <v>-0.14266273054147</v>
      </c>
      <c r="CU282" s="5">
        <v>0.18703078468636899</v>
      </c>
      <c r="CV282" s="5">
        <v>0.30835074844496702</v>
      </c>
      <c r="CW282" s="5">
        <v>6.5125494813362802E-3</v>
      </c>
      <c r="CX282" s="5">
        <v>0.54115179782338296</v>
      </c>
      <c r="CY282" s="5">
        <v>-8.3686288493441799E-2</v>
      </c>
      <c r="CZ282" s="5">
        <v>0.47705201524701502</v>
      </c>
      <c r="DA282" s="5">
        <v>-4.5952659599318199E-2</v>
      </c>
      <c r="DB282" s="5">
        <v>0.49668837394033499</v>
      </c>
      <c r="DC282" s="5">
        <v>9.2296420332471409E-3</v>
      </c>
      <c r="DD282" s="5">
        <v>0.43014236158080499</v>
      </c>
      <c r="DE282" s="5">
        <v>-3.8698036963287497E-2</v>
      </c>
      <c r="DF282" s="5">
        <v>0.42865553126112999</v>
      </c>
      <c r="DG282" s="5">
        <v>-3.3507428469350897E-2</v>
      </c>
      <c r="DH282" s="5">
        <v>0.26428463603723601</v>
      </c>
      <c r="DI282" s="5">
        <v>0.103911851425778</v>
      </c>
      <c r="DJ282" s="5">
        <v>-0.30106096515358699</v>
      </c>
      <c r="DK282" s="5">
        <v>0.32154448291417798</v>
      </c>
      <c r="DL282" s="5">
        <v>0.46792000213117502</v>
      </c>
      <c r="DM282" s="5">
        <v>6.7533036893824804E-3</v>
      </c>
      <c r="DN282" s="5">
        <v>-0.39495608549083</v>
      </c>
      <c r="DO282" s="5">
        <v>0.34225658927833003</v>
      </c>
      <c r="DP282" s="5">
        <v>0.56084360997030802</v>
      </c>
      <c r="DQ282" s="5">
        <v>-0.27187043572476399</v>
      </c>
      <c r="DR282" s="5">
        <v>5.7785512981714603E-2</v>
      </c>
      <c r="DS282" s="5">
        <v>0.17068605022599501</v>
      </c>
      <c r="DT282" s="5">
        <v>0.39581864066050498</v>
      </c>
      <c r="DU282" s="5">
        <v>-0.18834098237767299</v>
      </c>
      <c r="DV282" s="5">
        <v>0.47728140959023302</v>
      </c>
      <c r="DW282" s="5">
        <v>-0.11350419726751899</v>
      </c>
      <c r="DX282" s="5">
        <v>-0.166490491190352</v>
      </c>
      <c r="DY282" s="5">
        <v>0.23026846040322499</v>
      </c>
      <c r="DZ282" s="5">
        <v>-9.3594017024020107E-2</v>
      </c>
      <c r="EA282" s="5">
        <v>0.14210488713024999</v>
      </c>
      <c r="EB282" s="5">
        <v>0.497172156657745</v>
      </c>
      <c r="EC282" s="5">
        <v>-6.7939612480507505E-2</v>
      </c>
      <c r="ED282" s="5">
        <v>0.55050534120001704</v>
      </c>
      <c r="EE282" s="5">
        <v>-8.4748299243917094E-2</v>
      </c>
      <c r="EF282" s="5">
        <v>0.13700454060367001</v>
      </c>
      <c r="EG282" s="5">
        <v>0.125741247089587</v>
      </c>
      <c r="EH282" s="5">
        <v>0.477350686822829</v>
      </c>
      <c r="EI282" s="5">
        <v>-8.5646879520299805E-3</v>
      </c>
      <c r="EJ282" s="5">
        <v>0.49132195356097502</v>
      </c>
      <c r="EK282" s="5">
        <v>-1.9681328799562001E-2</v>
      </c>
      <c r="EL282" s="5">
        <v>0.60649462747871596</v>
      </c>
      <c r="EM282" s="5">
        <v>-0.183469825735702</v>
      </c>
      <c r="EN282" s="5">
        <v>0.31420355862793198</v>
      </c>
      <c r="EO282" s="5">
        <v>-2.1844999721958702E-2</v>
      </c>
      <c r="EP282" s="5">
        <v>0.40489602842246403</v>
      </c>
      <c r="EQ282" s="5">
        <v>-0.14650829851455599</v>
      </c>
      <c r="ER282" s="5">
        <v>0.51736964866533497</v>
      </c>
      <c r="ES282" s="5">
        <v>-7.88927125446508E-2</v>
      </c>
      <c r="ET282" s="5">
        <v>0.401420912435345</v>
      </c>
      <c r="EU282" s="5">
        <v>-6.6878947079803006E-2</v>
      </c>
      <c r="EV282" s="5">
        <v>0.43914257182761901</v>
      </c>
      <c r="EW282" s="5">
        <v>-8.2091187853438996E-2</v>
      </c>
      <c r="EX282" s="5">
        <v>0.44928114240935402</v>
      </c>
      <c r="EY282" s="5">
        <v>-0.175161439896066</v>
      </c>
      <c r="EZ282" s="5">
        <v>0.45939241700437</v>
      </c>
      <c r="FA282" s="5">
        <v>-2.4798786556932899E-2</v>
      </c>
      <c r="FB282" s="5">
        <v>8.7780817768706304E-2</v>
      </c>
      <c r="FC282" s="5">
        <v>0.15391852172773399</v>
      </c>
      <c r="FD282" s="5">
        <v>0.34004435669598998</v>
      </c>
      <c r="FE282" s="5">
        <v>6.9823873466487796E-3</v>
      </c>
      <c r="FF282" s="5">
        <v>3.5539905313395501E-2</v>
      </c>
      <c r="FG282" s="5">
        <v>0.15931712228636399</v>
      </c>
      <c r="FH282" s="5">
        <v>0.80436238311072406</v>
      </c>
      <c r="FI282" s="5">
        <v>-0.55346870188039099</v>
      </c>
      <c r="FJ282" s="5">
        <v>0.54945955692873405</v>
      </c>
      <c r="FK282" s="5">
        <v>-4.4302518512796901E-2</v>
      </c>
      <c r="FL282" s="5">
        <v>-0.111074660506382</v>
      </c>
      <c r="FM282" s="5">
        <v>0.175908444055388</v>
      </c>
      <c r="FN282" s="5">
        <v>0.41415242873253</v>
      </c>
      <c r="FO282" s="5">
        <v>3.19291339273408E-2</v>
      </c>
      <c r="FP282" s="5">
        <v>0.45362855968844301</v>
      </c>
      <c r="FQ282" s="5">
        <v>-2.5805906880261398E-2</v>
      </c>
      <c r="FR282" s="5">
        <v>-0.13666293625002299</v>
      </c>
      <c r="FS282" s="5">
        <v>3.3725178491483598E-2</v>
      </c>
      <c r="FT282" s="5">
        <v>0.40092192093864598</v>
      </c>
      <c r="FU282" s="5">
        <v>7.9457929842061306E-2</v>
      </c>
      <c r="FV282" s="5">
        <v>0.21627568981648701</v>
      </c>
      <c r="FW282" s="5">
        <v>9.2551276061340199E-2</v>
      </c>
      <c r="FX282" s="5">
        <v>0.308018007216734</v>
      </c>
      <c r="FY282" s="5">
        <v>2.62121303276589E-2</v>
      </c>
      <c r="FZ282" s="5">
        <v>0.44335164803172999</v>
      </c>
      <c r="GA282" s="5">
        <v>7.1295512051272297E-2</v>
      </c>
      <c r="GB282" s="5">
        <v>3.8022356287146002E-2</v>
      </c>
      <c r="GC282" s="5">
        <v>0.283615411854925</v>
      </c>
      <c r="GD282" s="5">
        <v>-0.28538838828489299</v>
      </c>
      <c r="GE282" s="5">
        <v>0.31986316207971499</v>
      </c>
      <c r="GF282" s="5">
        <v>0.42646695339617402</v>
      </c>
      <c r="GG282" s="5">
        <v>3.63174111078041E-2</v>
      </c>
      <c r="GH282" s="5">
        <v>-0.35065448822065198</v>
      </c>
      <c r="GI282" s="5">
        <v>0.21983032093218899</v>
      </c>
      <c r="GJ282" s="5">
        <v>0.56280635938106005</v>
      </c>
      <c r="GK282" s="5">
        <v>-0.25202004166115499</v>
      </c>
      <c r="GL282" s="5">
        <v>0.21107886440575599</v>
      </c>
      <c r="GM282" s="5">
        <v>5.05885396243528E-2</v>
      </c>
      <c r="GN282" s="5">
        <v>0.14292904879322599</v>
      </c>
      <c r="GO282" s="5">
        <v>0.17858458726753401</v>
      </c>
      <c r="GP282" s="5">
        <v>0.51619846690680304</v>
      </c>
      <c r="GQ282" s="5">
        <v>-8.5973962173166302E-2</v>
      </c>
      <c r="GR282" s="5">
        <v>0.56947612210310705</v>
      </c>
      <c r="GS282" s="5">
        <v>-0.25611161349623301</v>
      </c>
      <c r="GT282" s="5">
        <v>0.22475556572215899</v>
      </c>
      <c r="GU282" s="5">
        <v>0.21146852183610801</v>
      </c>
      <c r="GV282" s="5">
        <v>0.51934929335420998</v>
      </c>
      <c r="GW282" s="5">
        <v>-0.16248114054264901</v>
      </c>
      <c r="GX282" s="5">
        <v>0.54638551155220205</v>
      </c>
      <c r="GY282" s="5">
        <v>-0.15302350174159399</v>
      </c>
      <c r="GZ282" s="5">
        <v>-0.12706185384927701</v>
      </c>
      <c r="HA282" s="5">
        <v>0.13188889319031799</v>
      </c>
      <c r="HB282" s="5">
        <v>0.51440976242845204</v>
      </c>
      <c r="HC282" s="5">
        <v>-0.101134088222695</v>
      </c>
      <c r="HD282" s="5">
        <v>0.10414000206644999</v>
      </c>
      <c r="HE282" s="5">
        <v>0.37070847088612602</v>
      </c>
      <c r="HF282" s="5">
        <v>-0.234216364003066</v>
      </c>
      <c r="HG282" s="5">
        <v>0.286267529285258</v>
      </c>
      <c r="HH282" s="5">
        <v>-7.54578132766833E-2</v>
      </c>
      <c r="HI282" s="5">
        <v>0.204057585943656</v>
      </c>
      <c r="HJ282" s="5">
        <v>-0.27191954920349098</v>
      </c>
      <c r="HK282" s="5">
        <v>0.30447720544041101</v>
      </c>
      <c r="HL282" s="5">
        <v>0.41087883373029799</v>
      </c>
      <c r="HM282" s="5">
        <v>1.6112706140611499E-2</v>
      </c>
      <c r="HN282" s="5">
        <v>-4.4764667851517302E-2</v>
      </c>
      <c r="HO282" s="5">
        <v>0.249522315678148</v>
      </c>
      <c r="HP282" s="5">
        <v>0.54740802156187396</v>
      </c>
      <c r="HQ282" s="5">
        <v>-6.1901567570048499E-2</v>
      </c>
      <c r="HR282" s="5">
        <v>0.59174643016615303</v>
      </c>
      <c r="HS282" s="5">
        <v>-0.14384446098807199</v>
      </c>
      <c r="HT282" s="5">
        <v>1.4029420419114501E-2</v>
      </c>
      <c r="HU282" s="5">
        <v>0.21200809028286599</v>
      </c>
      <c r="HV282" s="5">
        <v>0.53480704971291604</v>
      </c>
      <c r="HW282" s="5">
        <v>-7.4845132719769294E-2</v>
      </c>
      <c r="HX282" s="5">
        <v>0.682333706517669</v>
      </c>
      <c r="HY282" s="5">
        <v>-0.25971165567807603</v>
      </c>
      <c r="HZ282" s="5">
        <v>-0.10325736681608499</v>
      </c>
      <c r="IA282" s="5">
        <v>0.21740622809334001</v>
      </c>
      <c r="IB282" s="5">
        <v>-0.33066679901961599</v>
      </c>
      <c r="IC282" s="5">
        <v>0.26217974539334798</v>
      </c>
      <c r="ID282" s="5">
        <v>0.46512162889526498</v>
      </c>
      <c r="IE282" s="5">
        <v>6.3978658517423001E-2</v>
      </c>
      <c r="IF282" s="5">
        <v>0.55164579700939298</v>
      </c>
      <c r="IG282" s="5">
        <v>-8.1561071804690605E-2</v>
      </c>
      <c r="IH282" s="5">
        <v>0.21974138680511299</v>
      </c>
      <c r="II282" s="5">
        <v>5.3895192453309801E-2</v>
      </c>
      <c r="IJ282" s="5">
        <v>0.33148591126705601</v>
      </c>
      <c r="IK282" s="5">
        <v>-0.13995814173785001</v>
      </c>
      <c r="IL282" s="5">
        <v>0.53409656492761404</v>
      </c>
      <c r="IM282" s="5">
        <v>-4.98248400920481E-2</v>
      </c>
      <c r="IN282" s="5">
        <v>0.615340397840765</v>
      </c>
      <c r="IO282" s="5">
        <v>-0.16644430590075701</v>
      </c>
      <c r="IP282" s="5">
        <v>0.44861532142782101</v>
      </c>
      <c r="IQ282" s="5">
        <v>7.7186948861406701E-2</v>
      </c>
      <c r="IR282" s="5">
        <v>0.47062091567146602</v>
      </c>
      <c r="IS282" s="5">
        <v>-0.161648977071322</v>
      </c>
      <c r="IT282" s="5">
        <v>0.49833291919290201</v>
      </c>
      <c r="IU282" s="5">
        <v>-3.0628911030468799E-2</v>
      </c>
      <c r="IV282" s="5">
        <v>0.45009433689947698</v>
      </c>
      <c r="IW282" s="5">
        <v>-4.2743824363872203E-2</v>
      </c>
      <c r="IX282" s="5">
        <v>0.41999857424557202</v>
      </c>
      <c r="IY282" s="5">
        <v>-3.1151475443598298E-2</v>
      </c>
      <c r="IZ282" s="5">
        <v>-7.1161233016304004E-2</v>
      </c>
      <c r="JA282" s="5">
        <v>0.18696691086880299</v>
      </c>
      <c r="JB282" s="5">
        <v>-0.37857677276948698</v>
      </c>
      <c r="JC282" s="5">
        <v>0.31689687536936501</v>
      </c>
      <c r="JD282" s="5">
        <v>0.29308210663229101</v>
      </c>
      <c r="JE282" s="5">
        <v>0.20754821346732599</v>
      </c>
      <c r="JF282" s="5">
        <v>0.34499969950769999</v>
      </c>
      <c r="JG282" s="5">
        <v>-0.12647936911718599</v>
      </c>
      <c r="JH282" s="5">
        <v>0.10075322117162901</v>
      </c>
      <c r="JI282" s="5">
        <v>1.6807336504422201E-2</v>
      </c>
      <c r="JJ282" s="5">
        <v>0.60795590847206404</v>
      </c>
      <c r="JK282" s="5">
        <v>-7.1766477266911793E-2</v>
      </c>
      <c r="JL282" s="5">
        <v>0.42982356469913602</v>
      </c>
      <c r="JM282" s="5">
        <v>4.6252595269169403E-2</v>
      </c>
      <c r="JN282" s="5">
        <v>0.45939656857461503</v>
      </c>
      <c r="JO282" s="5">
        <v>-0.12095241530314101</v>
      </c>
      <c r="JP282" s="5">
        <v>0.57884345907351897</v>
      </c>
      <c r="JQ282" s="5">
        <v>-4.8777809939619901E-2</v>
      </c>
      <c r="JR282" s="5">
        <v>0.64124023901500604</v>
      </c>
      <c r="JS282" s="5">
        <v>-0.19864174722318001</v>
      </c>
      <c r="JT282" s="5">
        <v>0.43662967924767998</v>
      </c>
      <c r="JU282" s="5">
        <v>-0.16814422786899</v>
      </c>
      <c r="JV282" s="5">
        <v>1</v>
      </c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</row>
    <row r="283" spans="1:389" x14ac:dyDescent="0.45">
      <c r="A283" s="4" t="str">
        <f ca="1">"PNG / beta2dist in "&amp;CELL("address",'damages-1990'!$K$142)</f>
        <v>PNG / beta2dist in '[BHM betas v3pd.xlsx]damages-1990'!$K$142</v>
      </c>
      <c r="B283" s="6">
        <v>-0.11899940390259101</v>
      </c>
      <c r="C283" s="5">
        <v>0.10669115820323299</v>
      </c>
      <c r="D283" s="5">
        <v>-7.9098627189652396E-2</v>
      </c>
      <c r="E283" s="5">
        <v>3.2692846260911901E-2</v>
      </c>
      <c r="F283" s="5">
        <v>-3.0388453442608501E-2</v>
      </c>
      <c r="G283" s="5">
        <v>1.16734570156E-2</v>
      </c>
      <c r="H283" s="5">
        <v>6.4833133774595098E-2</v>
      </c>
      <c r="I283" s="5">
        <v>-0.13399643516318699</v>
      </c>
      <c r="J283" s="5">
        <v>-0.41940425457341901</v>
      </c>
      <c r="K283" s="5">
        <v>0.45845146127359698</v>
      </c>
      <c r="L283" s="5">
        <v>-0.286098026744661</v>
      </c>
      <c r="M283" s="5">
        <v>0.35078904807994798</v>
      </c>
      <c r="N283" s="5">
        <v>0.118302548213922</v>
      </c>
      <c r="O283" s="5">
        <v>-0.14852162634324301</v>
      </c>
      <c r="P283" s="5">
        <v>-6.0121410434318401E-2</v>
      </c>
      <c r="Q283" s="5">
        <v>5.5395085312152099E-2</v>
      </c>
      <c r="R283" s="5">
        <v>-0.34059450283028198</v>
      </c>
      <c r="S283" s="5">
        <v>0.32854344473799602</v>
      </c>
      <c r="T283" s="5">
        <v>5.1293949331438701E-2</v>
      </c>
      <c r="U283" s="5">
        <v>-0.103155552310294</v>
      </c>
      <c r="V283" s="5">
        <v>7.5278296437117601E-2</v>
      </c>
      <c r="W283" s="5">
        <v>-0.21553793546977201</v>
      </c>
      <c r="X283" s="5">
        <v>-8.2006322724709396E-2</v>
      </c>
      <c r="Y283" s="5">
        <v>5.2900814724492401E-2</v>
      </c>
      <c r="Z283" s="5">
        <v>5.8086778662069301E-2</v>
      </c>
      <c r="AA283" s="5">
        <v>-0.110026273406618</v>
      </c>
      <c r="AB283" s="5">
        <v>-0.34073575859293298</v>
      </c>
      <c r="AC283" s="5">
        <v>0.35764442577951</v>
      </c>
      <c r="AD283" s="5">
        <v>-0.22488668756498001</v>
      </c>
      <c r="AE283" s="5">
        <v>0.197440006177908</v>
      </c>
      <c r="AF283" s="5">
        <v>-7.60323644643318E-2</v>
      </c>
      <c r="AG283" s="5">
        <v>8.1555598540434301E-2</v>
      </c>
      <c r="AH283" s="5">
        <v>7.1937293450955397E-2</v>
      </c>
      <c r="AI283" s="5">
        <v>-0.10921562480779699</v>
      </c>
      <c r="AJ283" s="5">
        <v>-0.41482574882085199</v>
      </c>
      <c r="AK283" s="5">
        <v>0.41907701169860401</v>
      </c>
      <c r="AL283" s="5">
        <v>-0.120270470582476</v>
      </c>
      <c r="AM283" s="5">
        <v>0.10940918481614099</v>
      </c>
      <c r="AN283" s="5">
        <v>3.2318961057101199E-2</v>
      </c>
      <c r="AO283" s="5">
        <v>-7.4913447596210894E-2</v>
      </c>
      <c r="AP283" s="5">
        <v>0.10724290430328901</v>
      </c>
      <c r="AQ283" s="5">
        <v>-0.169957654473256</v>
      </c>
      <c r="AR283" s="5">
        <v>-0.15805903660107001</v>
      </c>
      <c r="AS283" s="5">
        <v>0.13839615439935199</v>
      </c>
      <c r="AT283" s="5">
        <v>-0.30949970585039799</v>
      </c>
      <c r="AU283" s="5">
        <v>0.33113506643344598</v>
      </c>
      <c r="AV283" s="5">
        <v>-0.33525585225433302</v>
      </c>
      <c r="AW283" s="5">
        <v>0.36482796889529001</v>
      </c>
      <c r="AX283" s="5">
        <v>-0.30099882281321999</v>
      </c>
      <c r="AY283" s="5">
        <v>0.32655147510069699</v>
      </c>
      <c r="AZ283" s="5">
        <v>-0.25328530376427</v>
      </c>
      <c r="BA283" s="5">
        <v>0.27480225044013101</v>
      </c>
      <c r="BB283" s="5">
        <v>-0.194399768120986</v>
      </c>
      <c r="BC283" s="5">
        <v>0.138047657338361</v>
      </c>
      <c r="BD283" s="5">
        <v>-7.5448328901954595E-4</v>
      </c>
      <c r="BE283" s="5">
        <v>-7.5976194778014802E-2</v>
      </c>
      <c r="BF283" s="5">
        <v>-0.16609992206743701</v>
      </c>
      <c r="BG283" s="5">
        <v>0.15056167879235299</v>
      </c>
      <c r="BH283" s="5">
        <v>-0.24305931821722401</v>
      </c>
      <c r="BI283" s="5">
        <v>0.27514449432636601</v>
      </c>
      <c r="BJ283" s="5">
        <v>0.14807908411218201</v>
      </c>
      <c r="BK283" s="5">
        <v>-0.236877871726072</v>
      </c>
      <c r="BL283" s="5">
        <v>1.09223309522432E-2</v>
      </c>
      <c r="BM283" s="5">
        <v>-7.4881572879077499E-2</v>
      </c>
      <c r="BN283" s="5">
        <v>0.26911302394393399</v>
      </c>
      <c r="BO283" s="5">
        <v>-0.40029280758376001</v>
      </c>
      <c r="BP283" s="5">
        <v>0.199607873578031</v>
      </c>
      <c r="BQ283" s="5">
        <v>-0.372661259862267</v>
      </c>
      <c r="BR283" s="5">
        <v>-0.26660317676560802</v>
      </c>
      <c r="BS283" s="5">
        <v>0.26882355466616897</v>
      </c>
      <c r="BT283" s="5">
        <v>-0.30466852917707798</v>
      </c>
      <c r="BU283" s="5">
        <v>0.34039473663088698</v>
      </c>
      <c r="BV283" s="5">
        <v>-0.199390943082214</v>
      </c>
      <c r="BW283" s="5">
        <v>0.19594603924864801</v>
      </c>
      <c r="BX283" s="5">
        <v>-0.316950539374042</v>
      </c>
      <c r="BY283" s="5">
        <v>0.33737486106739201</v>
      </c>
      <c r="BZ283" s="5">
        <v>-0.32540200100829297</v>
      </c>
      <c r="CA283" s="5">
        <v>0.30478870418057802</v>
      </c>
      <c r="CB283" s="5">
        <v>-0.130353729469286</v>
      </c>
      <c r="CC283" s="5">
        <v>0.15609626017886599</v>
      </c>
      <c r="CD283" s="5">
        <v>-5.8697449966329501E-2</v>
      </c>
      <c r="CE283" s="5">
        <v>3.8948094356401702E-2</v>
      </c>
      <c r="CF283" s="5">
        <v>-0.12943335771681999</v>
      </c>
      <c r="CG283" s="5">
        <v>0.12976726521038301</v>
      </c>
      <c r="CH283" s="5">
        <v>-0.106595334471594</v>
      </c>
      <c r="CI283" s="5">
        <v>7.7082810649013206E-2</v>
      </c>
      <c r="CJ283" s="5">
        <v>4.1421655236443901E-2</v>
      </c>
      <c r="CK283" s="5">
        <v>-9.2147634727907907E-2</v>
      </c>
      <c r="CL283" s="5">
        <v>6.9886692392334596E-2</v>
      </c>
      <c r="CM283" s="5">
        <v>-0.130149218336995</v>
      </c>
      <c r="CN283" s="5">
        <v>7.0187480778998196E-2</v>
      </c>
      <c r="CO283" s="5">
        <v>-0.13753553115823999</v>
      </c>
      <c r="CP283" s="5">
        <v>-0.40632596751366701</v>
      </c>
      <c r="CQ283" s="5">
        <v>0.40039022695228299</v>
      </c>
      <c r="CR283" s="5">
        <v>-6.8963180861365006E-2</v>
      </c>
      <c r="CS283" s="5">
        <v>7.6686965978851898E-2</v>
      </c>
      <c r="CT283" s="5">
        <v>0.104787941048511</v>
      </c>
      <c r="CU283" s="5">
        <v>-0.136608014007776</v>
      </c>
      <c r="CV283" s="5">
        <v>-0.141266629576518</v>
      </c>
      <c r="CW283" s="5">
        <v>0.119246699530922</v>
      </c>
      <c r="CX283" s="5">
        <v>-0.30402979642036498</v>
      </c>
      <c r="CY283" s="5">
        <v>0.29836314606082698</v>
      </c>
      <c r="CZ283" s="5">
        <v>-0.19795712996760301</v>
      </c>
      <c r="DA283" s="5">
        <v>0.15518484089836199</v>
      </c>
      <c r="DB283" s="5">
        <v>-0.20854914314223999</v>
      </c>
      <c r="DC283" s="5">
        <v>0.145676186159512</v>
      </c>
      <c r="DD283" s="5">
        <v>-0.36491525518670898</v>
      </c>
      <c r="DE283" s="5">
        <v>0.36593766849176901</v>
      </c>
      <c r="DF283" s="5">
        <v>-0.24665886356290101</v>
      </c>
      <c r="DG283" s="5">
        <v>0.24939283031162399</v>
      </c>
      <c r="DH283" s="5">
        <v>-0.15086412931451401</v>
      </c>
      <c r="DI283" s="5">
        <v>0.17200278053156801</v>
      </c>
      <c r="DJ283" s="5">
        <v>0.17091911200055099</v>
      </c>
      <c r="DK283" s="5">
        <v>-0.220832678910412</v>
      </c>
      <c r="DL283" s="5">
        <v>-0.26367572363938901</v>
      </c>
      <c r="DM283" s="5">
        <v>0.27204092410777497</v>
      </c>
      <c r="DN283" s="5">
        <v>0.21539996062358299</v>
      </c>
      <c r="DO283" s="5">
        <v>-0.250737402195293</v>
      </c>
      <c r="DP283" s="5">
        <v>-0.249651747622155</v>
      </c>
      <c r="DQ283" s="5">
        <v>0.27694226934591398</v>
      </c>
      <c r="DR283" s="5">
        <v>-1.7370554095614499E-2</v>
      </c>
      <c r="DS283" s="5">
        <v>-7.6345087071512802E-3</v>
      </c>
      <c r="DT283" s="5">
        <v>-0.36498392924974599</v>
      </c>
      <c r="DU283" s="5">
        <v>0.39030944980413901</v>
      </c>
      <c r="DV283" s="5">
        <v>-0.31752435768992998</v>
      </c>
      <c r="DW283" s="5">
        <v>0.33667395348184398</v>
      </c>
      <c r="DX283" s="5">
        <v>8.3067944482910105E-2</v>
      </c>
      <c r="DY283" s="5">
        <v>-0.105357534370713</v>
      </c>
      <c r="DZ283" s="5">
        <v>9.6389640024247603E-2</v>
      </c>
      <c r="EA283" s="5">
        <v>-0.123555851295142</v>
      </c>
      <c r="EB283" s="5">
        <v>-0.30464418712682301</v>
      </c>
      <c r="EC283" s="5">
        <v>0.30343684423667899</v>
      </c>
      <c r="ED283" s="5">
        <v>-0.35695688697231298</v>
      </c>
      <c r="EE283" s="5">
        <v>0.34656088631821502</v>
      </c>
      <c r="EF283" s="5">
        <v>-6.1081912737811703E-2</v>
      </c>
      <c r="EG283" s="5">
        <v>6.1182496352845402E-2</v>
      </c>
      <c r="EH283" s="5">
        <v>-0.21075761757094699</v>
      </c>
      <c r="EI283" s="5">
        <v>0.21105674476017899</v>
      </c>
      <c r="EJ283" s="5">
        <v>-0.240675821706443</v>
      </c>
      <c r="EK283" s="5">
        <v>0.23912949862532701</v>
      </c>
      <c r="EL283" s="5">
        <v>-0.295776799730672</v>
      </c>
      <c r="EM283" s="5">
        <v>0.31060456742107201</v>
      </c>
      <c r="EN283" s="5">
        <v>-0.113098134929219</v>
      </c>
      <c r="EO283" s="5">
        <v>0.10826370836480501</v>
      </c>
      <c r="EP283" s="5">
        <v>-0.336318072241368</v>
      </c>
      <c r="EQ283" s="5">
        <v>0.35937269063671801</v>
      </c>
      <c r="ER283" s="5">
        <v>-0.18044748263583299</v>
      </c>
      <c r="ES283" s="5">
        <v>0.14426894711510799</v>
      </c>
      <c r="ET283" s="5">
        <v>-3.0850300863463399E-2</v>
      </c>
      <c r="EU283" s="5">
        <v>8.6434133647272704E-2</v>
      </c>
      <c r="EV283" s="5">
        <v>-0.154149660368018</v>
      </c>
      <c r="EW283" s="5">
        <v>0.202392080717125</v>
      </c>
      <c r="EX283" s="5">
        <v>-8.9817506788388804E-2</v>
      </c>
      <c r="EY283" s="5">
        <v>0.165993328554388</v>
      </c>
      <c r="EZ283" s="5">
        <v>-0.13781120144318201</v>
      </c>
      <c r="FA283" s="5">
        <v>0.12999764122298499</v>
      </c>
      <c r="FB283" s="5">
        <v>-1.48187253552063E-2</v>
      </c>
      <c r="FC283" s="5">
        <v>-5.6265862094453702E-3</v>
      </c>
      <c r="FD283" s="5">
        <v>-7.5523524705181103E-2</v>
      </c>
      <c r="FE283" s="5">
        <v>4.1054637631895298E-2</v>
      </c>
      <c r="FF283" s="5">
        <v>2.8730648351522101E-2</v>
      </c>
      <c r="FG283" s="5">
        <v>-5.38177273297284E-2</v>
      </c>
      <c r="FH283" s="5">
        <v>-0.39583383461701999</v>
      </c>
      <c r="FI283" s="5">
        <v>0.55668024291468199</v>
      </c>
      <c r="FJ283" s="5">
        <v>-0.33265284759981301</v>
      </c>
      <c r="FK283" s="5">
        <v>0.319485548685151</v>
      </c>
      <c r="FL283" s="5">
        <v>6.1203898216240497E-2</v>
      </c>
      <c r="FM283" s="5">
        <v>-7.1067041429599104E-2</v>
      </c>
      <c r="FN283" s="5">
        <v>-0.19599723138688599</v>
      </c>
      <c r="FO283" s="5">
        <v>0.19903748351412201</v>
      </c>
      <c r="FP283" s="5">
        <v>-0.16346717532097499</v>
      </c>
      <c r="FQ283" s="5">
        <v>0.144106372079674</v>
      </c>
      <c r="FR283" s="5">
        <v>0.16200413896892499</v>
      </c>
      <c r="FS283" s="5">
        <v>-9.3208499457282198E-2</v>
      </c>
      <c r="FT283" s="5">
        <v>-0.107837682281495</v>
      </c>
      <c r="FU283" s="5">
        <v>4.8676524595481899E-2</v>
      </c>
      <c r="FV283" s="5">
        <v>-7.9947807744958299E-2</v>
      </c>
      <c r="FW283" s="5">
        <v>9.6639083655886304E-2</v>
      </c>
      <c r="FX283" s="5">
        <v>-1.24353740273421E-2</v>
      </c>
      <c r="FY283" s="5">
        <v>-1.9705396172025502E-2</v>
      </c>
      <c r="FZ283" s="5">
        <v>-0.12415479672148901</v>
      </c>
      <c r="GA283" s="5">
        <v>6.1067351196658799E-2</v>
      </c>
      <c r="GB283" s="5">
        <v>3.0227403899872801E-2</v>
      </c>
      <c r="GC283" s="5">
        <v>-8.3334112546130504E-2</v>
      </c>
      <c r="GD283" s="5">
        <v>0.23289189233497601</v>
      </c>
      <c r="GE283" s="5">
        <v>-0.26434546960142102</v>
      </c>
      <c r="GF283" s="5">
        <v>-0.15097233321388401</v>
      </c>
      <c r="GG283" s="5">
        <v>0.18239213727277301</v>
      </c>
      <c r="GH283" s="5">
        <v>0.357989973266165</v>
      </c>
      <c r="GI283" s="5">
        <v>-0.40609808293234301</v>
      </c>
      <c r="GJ283" s="5">
        <v>-0.20871995877076099</v>
      </c>
      <c r="GK283" s="5">
        <v>0.28535230493803698</v>
      </c>
      <c r="GL283" s="5">
        <v>-0.16707647222094099</v>
      </c>
      <c r="GM283" s="5">
        <v>0.15812223182260099</v>
      </c>
      <c r="GN283" s="5">
        <v>-6.4032651417657599E-2</v>
      </c>
      <c r="GO283" s="5">
        <v>6.2953376131340902E-2</v>
      </c>
      <c r="GP283" s="5">
        <v>-0.25937926563478497</v>
      </c>
      <c r="GQ283" s="5">
        <v>0.25770583533602198</v>
      </c>
      <c r="GR283" s="5">
        <v>-0.23785363509003801</v>
      </c>
      <c r="GS283" s="5">
        <v>0.31266045955077998</v>
      </c>
      <c r="GT283" s="5">
        <v>4.3936843586288903E-2</v>
      </c>
      <c r="GU283" s="5">
        <v>-0.140879931132045</v>
      </c>
      <c r="GV283" s="5">
        <v>-0.332161961046266</v>
      </c>
      <c r="GW283" s="5">
        <v>0.36299192173713102</v>
      </c>
      <c r="GX283" s="5">
        <v>-0.28798564121727099</v>
      </c>
      <c r="GY283" s="5">
        <v>0.27811619927443099</v>
      </c>
      <c r="GZ283" s="5">
        <v>1.6866000922844598E-2</v>
      </c>
      <c r="HA283" s="5">
        <v>-7.9913359885731394E-2</v>
      </c>
      <c r="HB283" s="5">
        <v>-0.20930162424601001</v>
      </c>
      <c r="HC283" s="5">
        <v>0.221106968994291</v>
      </c>
      <c r="HD283" s="5">
        <v>-8.2746170046734801E-4</v>
      </c>
      <c r="HE283" s="5">
        <v>-9.3626919722061594E-2</v>
      </c>
      <c r="HF283" s="5">
        <v>0.131140501460002</v>
      </c>
      <c r="HG283" s="5">
        <v>-0.192700532285841</v>
      </c>
      <c r="HH283" s="5">
        <v>5.5756793664312798E-2</v>
      </c>
      <c r="HI283" s="5">
        <v>-0.11796311194793301</v>
      </c>
      <c r="HJ283" s="5">
        <v>0.16157588744825199</v>
      </c>
      <c r="HK283" s="5">
        <v>-0.21736550555488299</v>
      </c>
      <c r="HL283" s="5">
        <v>-0.22763991124277699</v>
      </c>
      <c r="HM283" s="5">
        <v>0.254675816953228</v>
      </c>
      <c r="HN283" s="5">
        <v>0.111306900756177</v>
      </c>
      <c r="HO283" s="5">
        <v>-0.16973756033798901</v>
      </c>
      <c r="HP283" s="5">
        <v>-0.15064493184145999</v>
      </c>
      <c r="HQ283" s="5">
        <v>0.14326721493883199</v>
      </c>
      <c r="HR283" s="5">
        <v>-0.201879417006292</v>
      </c>
      <c r="HS283" s="5">
        <v>0.188203159232427</v>
      </c>
      <c r="HT283" s="5">
        <v>3.0257095772451101E-2</v>
      </c>
      <c r="HU283" s="5">
        <v>-5.7518291854176201E-2</v>
      </c>
      <c r="HV283" s="5">
        <v>-0.32364849520111699</v>
      </c>
      <c r="HW283" s="5">
        <v>0.30107860243242701</v>
      </c>
      <c r="HX283" s="5">
        <v>-0.413925956629765</v>
      </c>
      <c r="HY283" s="5">
        <v>0.48298232965478199</v>
      </c>
      <c r="HZ283" s="5">
        <v>6.8890189802784496E-2</v>
      </c>
      <c r="IA283" s="5">
        <v>-0.119640404189867</v>
      </c>
      <c r="IB283" s="5">
        <v>0.24943194642563199</v>
      </c>
      <c r="IC283" s="5">
        <v>-0.286581918127296</v>
      </c>
      <c r="ID283" s="5">
        <v>-3.10258716149471E-2</v>
      </c>
      <c r="IE283" s="5">
        <v>-2.36221742370426E-2</v>
      </c>
      <c r="IF283" s="5">
        <v>-0.32475235661464202</v>
      </c>
      <c r="IG283" s="5">
        <v>0.32842726988892601</v>
      </c>
      <c r="IH283" s="5">
        <v>-0.115520817433069</v>
      </c>
      <c r="II283" s="5">
        <v>0.130183431274001</v>
      </c>
      <c r="IJ283" s="5">
        <v>-0.10832831171384701</v>
      </c>
      <c r="IK283" s="5">
        <v>0.115030558688102</v>
      </c>
      <c r="IL283" s="5">
        <v>-0.16957697468431199</v>
      </c>
      <c r="IM283" s="5">
        <v>0.16994070857634999</v>
      </c>
      <c r="IN283" s="5">
        <v>-0.20916734519925101</v>
      </c>
      <c r="IO283" s="5">
        <v>0.20986066363754</v>
      </c>
      <c r="IP283" s="5">
        <v>-0.10362303582134499</v>
      </c>
      <c r="IQ283" s="5">
        <v>2.5671381860657001E-2</v>
      </c>
      <c r="IR283" s="5">
        <v>-0.274077376707062</v>
      </c>
      <c r="IS283" s="5">
        <v>0.23899143709661499</v>
      </c>
      <c r="IT283" s="5">
        <v>-0.23183684989327299</v>
      </c>
      <c r="IU283" s="5">
        <v>0.19070395852744701</v>
      </c>
      <c r="IV283" s="5">
        <v>-0.26913641947163103</v>
      </c>
      <c r="IW283" s="5">
        <v>0.28175236917303598</v>
      </c>
      <c r="IX283" s="5">
        <v>-0.15415806020852399</v>
      </c>
      <c r="IY283" s="5">
        <v>0.16510614450714101</v>
      </c>
      <c r="IZ283" s="5">
        <v>8.89556937379887E-2</v>
      </c>
      <c r="JA283" s="5">
        <v>-0.135918501413336</v>
      </c>
      <c r="JB283" s="5">
        <v>0.18467396499313099</v>
      </c>
      <c r="JC283" s="5">
        <v>-0.22071794419883101</v>
      </c>
      <c r="JD283" s="5">
        <v>-0.16395814937891001</v>
      </c>
      <c r="JE283" s="5">
        <v>0.131775832414499</v>
      </c>
      <c r="JF283" s="5">
        <v>-0.10497101281722999</v>
      </c>
      <c r="JG283" s="5">
        <v>0.11786736672899301</v>
      </c>
      <c r="JH283" s="5">
        <v>-5.7416739095597101E-2</v>
      </c>
      <c r="JI283" s="5">
        <v>5.7732150509960202E-2</v>
      </c>
      <c r="JJ283" s="5">
        <v>-0.37082970004863602</v>
      </c>
      <c r="JK283" s="5">
        <v>0.36911239134527202</v>
      </c>
      <c r="JL283" s="5">
        <v>-0.237315590954089</v>
      </c>
      <c r="JM283" s="5">
        <v>0.237729805808021</v>
      </c>
      <c r="JN283" s="5">
        <v>-0.246293417609635</v>
      </c>
      <c r="JO283" s="5">
        <v>0.25624299103944198</v>
      </c>
      <c r="JP283" s="5">
        <v>-0.24637908788143301</v>
      </c>
      <c r="JQ283" s="5">
        <v>0.21246962316273901</v>
      </c>
      <c r="JR283" s="5">
        <v>-0.26709525443948801</v>
      </c>
      <c r="JS283" s="5">
        <v>0.27591096228530199</v>
      </c>
      <c r="JT283" s="5">
        <v>-0.164141796086609</v>
      </c>
      <c r="JU283" s="5">
        <v>0.192989005767678</v>
      </c>
      <c r="JV283" s="5">
        <v>-0.73476723414978695</v>
      </c>
      <c r="JW283" s="5">
        <v>1</v>
      </c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</row>
    <row r="284" spans="1:389" x14ac:dyDescent="0.45">
      <c r="A284" s="4" t="str">
        <f ca="1">"POL / beta1dist in "&amp;CELL("address",'damages-1990'!$J$143)</f>
        <v>POL / beta1dist in '[BHM betas v3pd.xlsx]damages-1990'!$J$143</v>
      </c>
      <c r="B284" s="6">
        <v>0.33221997262784098</v>
      </c>
      <c r="C284" s="5">
        <v>-0.21375677454254899</v>
      </c>
      <c r="D284" s="5">
        <v>0.14401817524233301</v>
      </c>
      <c r="E284" s="5">
        <v>-0.23679139643484901</v>
      </c>
      <c r="F284" s="5">
        <v>0.52843558904362398</v>
      </c>
      <c r="G284" s="5">
        <v>-0.44258513949863798</v>
      </c>
      <c r="H284" s="5">
        <v>0.59043382908639996</v>
      </c>
      <c r="I284" s="5">
        <v>-0.43393659057207001</v>
      </c>
      <c r="J284" s="5">
        <v>-6.3954114146186902E-2</v>
      </c>
      <c r="K284" s="5">
        <v>-7.0423072599417005E-2</v>
      </c>
      <c r="L284" s="5">
        <v>0.19492264573497201</v>
      </c>
      <c r="M284" s="5">
        <v>-6.22183014139552E-2</v>
      </c>
      <c r="N284" s="5">
        <v>0.34327320939285799</v>
      </c>
      <c r="O284" s="5">
        <v>-9.1123570735534801E-2</v>
      </c>
      <c r="P284" s="5">
        <v>4.71329691380898E-2</v>
      </c>
      <c r="Q284" s="5">
        <v>-0.162778820033955</v>
      </c>
      <c r="R284" s="5">
        <v>-6.3855936153547302E-2</v>
      </c>
      <c r="S284" s="5">
        <v>-2.17013632403701E-2</v>
      </c>
      <c r="T284" s="5">
        <v>0.81263502132107701</v>
      </c>
      <c r="U284" s="5">
        <v>-0.68811746572558996</v>
      </c>
      <c r="V284" s="5">
        <v>0.33070151224035899</v>
      </c>
      <c r="W284" s="5">
        <v>-0.22468264992711201</v>
      </c>
      <c r="X284" s="5">
        <v>0.13180160209824399</v>
      </c>
      <c r="Y284" s="5">
        <v>-0.18062900198767901</v>
      </c>
      <c r="Z284" s="5">
        <v>0.747874144675575</v>
      </c>
      <c r="AA284" s="5">
        <v>-0.65627608255916803</v>
      </c>
      <c r="AB284" s="5">
        <v>0.128382042042511</v>
      </c>
      <c r="AC284" s="5">
        <v>-0.157156368573134</v>
      </c>
      <c r="AD284" s="5">
        <v>0.15190426830868101</v>
      </c>
      <c r="AE284" s="5">
        <v>-0.170713174892347</v>
      </c>
      <c r="AF284" s="5">
        <v>-0.115889507403035</v>
      </c>
      <c r="AG284" s="5">
        <v>-6.2232742841790397E-3</v>
      </c>
      <c r="AH284" s="5">
        <v>0.61396042188134403</v>
      </c>
      <c r="AI284" s="5">
        <v>-0.53109556383957002</v>
      </c>
      <c r="AJ284" s="5">
        <v>-0.15746233768645099</v>
      </c>
      <c r="AK284" s="5">
        <v>-1.5240423274270099E-2</v>
      </c>
      <c r="AL284" s="5">
        <v>-0.27369745263747203</v>
      </c>
      <c r="AM284" s="5">
        <v>0.24539601918193499</v>
      </c>
      <c r="AN284" s="5">
        <v>0.748497535373012</v>
      </c>
      <c r="AO284" s="5">
        <v>-0.65203371725983295</v>
      </c>
      <c r="AP284" s="5">
        <v>0.82723395617916295</v>
      </c>
      <c r="AQ284" s="5">
        <v>-0.70632268749113702</v>
      </c>
      <c r="AR284" s="5">
        <v>-0.107448464115363</v>
      </c>
      <c r="AS284" s="5">
        <v>2.3295860746332601E-2</v>
      </c>
      <c r="AT284" s="5">
        <v>-0.31021108232216099</v>
      </c>
      <c r="AU284" s="5">
        <v>0.28577952317466099</v>
      </c>
      <c r="AV284" s="5">
        <v>-9.5972228802634105E-2</v>
      </c>
      <c r="AW284" s="5">
        <v>-9.1654137151500701E-3</v>
      </c>
      <c r="AX284" s="5">
        <v>-0.12579865888105901</v>
      </c>
      <c r="AY284" s="5">
        <v>-2.94015185844313E-2</v>
      </c>
      <c r="AZ284" s="5">
        <v>6.2372608225825799E-2</v>
      </c>
      <c r="BA284" s="5">
        <v>-0.160253049920762</v>
      </c>
      <c r="BB284" s="5">
        <v>1.9395663111119399E-2</v>
      </c>
      <c r="BC284" s="5">
        <v>-0.18058461424573999</v>
      </c>
      <c r="BD284" s="5">
        <v>0.49557568487137699</v>
      </c>
      <c r="BE284" s="5">
        <v>-0.35753976363052298</v>
      </c>
      <c r="BF284" s="5">
        <v>0.16997327246722199</v>
      </c>
      <c r="BG284" s="5">
        <v>-0.29812109657812402</v>
      </c>
      <c r="BH284" s="5">
        <v>4.9236696834871002E-2</v>
      </c>
      <c r="BI284" s="5">
        <v>-0.110256551311486</v>
      </c>
      <c r="BJ284" s="5">
        <v>0.56927472991121897</v>
      </c>
      <c r="BK284" s="5">
        <v>-0.313622634860306</v>
      </c>
      <c r="BL284" s="5">
        <v>0.72049553301790503</v>
      </c>
      <c r="BM284" s="5">
        <v>-0.57957204907674698</v>
      </c>
      <c r="BN284" s="5">
        <v>0.38700251066760899</v>
      </c>
      <c r="BO284" s="5">
        <v>-0.11788156263625101</v>
      </c>
      <c r="BP284" s="5">
        <v>0.62687008740836103</v>
      </c>
      <c r="BQ284" s="5">
        <v>-0.44476653575338998</v>
      </c>
      <c r="BR284" s="5">
        <v>0.155604717929265</v>
      </c>
      <c r="BS284" s="5">
        <v>-0.16725438009461499</v>
      </c>
      <c r="BT284" s="5">
        <v>1.67523939796714E-2</v>
      </c>
      <c r="BU284" s="5">
        <v>-9.3678727976950898E-2</v>
      </c>
      <c r="BV284" s="5">
        <v>5.8073228798245703E-2</v>
      </c>
      <c r="BW284" s="5">
        <v>-0.143515700285377</v>
      </c>
      <c r="BX284" s="5">
        <v>5.48999335984207E-2</v>
      </c>
      <c r="BY284" s="5">
        <v>-0.120201252458828</v>
      </c>
      <c r="BZ284" s="5">
        <v>-3.2873849416387498E-2</v>
      </c>
      <c r="CA284" s="5">
        <v>-7.0873130947248605E-2</v>
      </c>
      <c r="CB284" s="5">
        <v>-0.124406942419928</v>
      </c>
      <c r="CC284" s="5">
        <v>5.3390920924606698E-2</v>
      </c>
      <c r="CD284" s="5">
        <v>-1.09138734227567E-2</v>
      </c>
      <c r="CE284" s="5">
        <v>-4.6202198756408901E-2</v>
      </c>
      <c r="CF284" s="5">
        <v>-5.7156317174252402E-2</v>
      </c>
      <c r="CG284" s="5">
        <v>-3.1219290925989999E-3</v>
      </c>
      <c r="CH284" s="5">
        <v>-0.235048138872927</v>
      </c>
      <c r="CI284" s="5">
        <v>0.200174254112682</v>
      </c>
      <c r="CJ284" s="5">
        <v>-0.123897498965442</v>
      </c>
      <c r="CK284" s="5">
        <v>0.105603871347207</v>
      </c>
      <c r="CL284" s="5">
        <v>0.86796830194625096</v>
      </c>
      <c r="CM284" s="5">
        <v>-0.76509588502400405</v>
      </c>
      <c r="CN284" s="5">
        <v>0.85078335888676504</v>
      </c>
      <c r="CO284" s="5">
        <v>-0.76561743380194403</v>
      </c>
      <c r="CP284" s="5">
        <v>8.2537110961280399E-2</v>
      </c>
      <c r="CQ284" s="5">
        <v>-9.8061705547102695E-2</v>
      </c>
      <c r="CR284" s="5">
        <v>5.7033368202555501E-2</v>
      </c>
      <c r="CS284" s="5">
        <v>-0.14359547004213299</v>
      </c>
      <c r="CT284" s="5">
        <v>0.79837003528580897</v>
      </c>
      <c r="CU284" s="5">
        <v>-0.69562293770133399</v>
      </c>
      <c r="CV284" s="5">
        <v>0.12482189492325001</v>
      </c>
      <c r="CW284" s="5">
        <v>-0.20185297253533099</v>
      </c>
      <c r="CX284" s="5">
        <v>-1.54344698854753E-2</v>
      </c>
      <c r="CY284" s="5">
        <v>-8.8888105663563394E-2</v>
      </c>
      <c r="CZ284" s="5">
        <v>6.5112622733512204E-3</v>
      </c>
      <c r="DA284" s="5">
        <v>-0.101244416764627</v>
      </c>
      <c r="DB284" s="5">
        <v>-7.7726161627361498E-2</v>
      </c>
      <c r="DC284" s="5">
        <v>-9.7955252345177601E-2</v>
      </c>
      <c r="DD284" s="5">
        <v>0.13554678699077199</v>
      </c>
      <c r="DE284" s="5">
        <v>-0.14682009805559701</v>
      </c>
      <c r="DF284" s="5">
        <v>-0.15749123672132501</v>
      </c>
      <c r="DG284" s="5">
        <v>0.11385607328651599</v>
      </c>
      <c r="DH284" s="5">
        <v>0.360931053397687</v>
      </c>
      <c r="DI284" s="5">
        <v>-0.29196244517758602</v>
      </c>
      <c r="DJ284" s="5">
        <v>0.76647520454790397</v>
      </c>
      <c r="DK284" s="5">
        <v>-0.651595399411659</v>
      </c>
      <c r="DL284" s="5">
        <v>0.100647613042095</v>
      </c>
      <c r="DM284" s="5">
        <v>-0.11046049084507301</v>
      </c>
      <c r="DN284" s="5">
        <v>0.68872434576257102</v>
      </c>
      <c r="DO284" s="5">
        <v>-0.57123884887915199</v>
      </c>
      <c r="DP284" s="5">
        <v>5.46913405517837E-2</v>
      </c>
      <c r="DQ284" s="5">
        <v>-8.8704308029364201E-2</v>
      </c>
      <c r="DR284" s="5">
        <v>0.656307630422028</v>
      </c>
      <c r="DS284" s="5">
        <v>-0.59342915001162999</v>
      </c>
      <c r="DT284" s="5">
        <v>-9.6998255348927406E-2</v>
      </c>
      <c r="DU284" s="5">
        <v>6.03518672272432E-2</v>
      </c>
      <c r="DV284" s="5">
        <v>0.112395859194034</v>
      </c>
      <c r="DW284" s="5">
        <v>-0.167251725619456</v>
      </c>
      <c r="DX284" s="5">
        <v>0.67892406343498901</v>
      </c>
      <c r="DY284" s="5">
        <v>-0.53972687241449901</v>
      </c>
      <c r="DZ284" s="5">
        <v>0.42804053748574</v>
      </c>
      <c r="EA284" s="5">
        <v>-0.21036685962249499</v>
      </c>
      <c r="EB284" s="5">
        <v>9.1551259950452601E-2</v>
      </c>
      <c r="EC284" s="5">
        <v>-0.13072992449224299</v>
      </c>
      <c r="ED284" s="5">
        <v>0.12256231289819799</v>
      </c>
      <c r="EE284" s="5">
        <v>-0.16394074983118401</v>
      </c>
      <c r="EF284" s="5">
        <v>6.9943785013451998E-2</v>
      </c>
      <c r="EG284" s="5">
        <v>-0.16256882075998</v>
      </c>
      <c r="EH284" s="5">
        <v>6.3168867187909594E-2</v>
      </c>
      <c r="EI284" s="5">
        <v>-0.148573752076056</v>
      </c>
      <c r="EJ284" s="5">
        <v>0.102175945329608</v>
      </c>
      <c r="EK284" s="5">
        <v>-0.19007989793559299</v>
      </c>
      <c r="EL284" s="5">
        <v>-9.9563575061766094E-2</v>
      </c>
      <c r="EM284" s="5">
        <v>7.0273107778507399E-2</v>
      </c>
      <c r="EN284" s="5">
        <v>0.13555578843788799</v>
      </c>
      <c r="EO284" s="5">
        <v>-4.2496465590417601E-2</v>
      </c>
      <c r="EP284" s="5">
        <v>8.4149882754270794E-2</v>
      </c>
      <c r="EQ284" s="5">
        <v>-0.187939630558497</v>
      </c>
      <c r="ER284" s="5">
        <v>-4.1767586457273499E-2</v>
      </c>
      <c r="ES284" s="5">
        <v>-3.9566535445872603E-2</v>
      </c>
      <c r="ET284" s="5">
        <v>-8.5240565742800797E-2</v>
      </c>
      <c r="EU284" s="5">
        <v>-4.9092183130653402E-2</v>
      </c>
      <c r="EV284" s="5">
        <v>-0.123506151818805</v>
      </c>
      <c r="EW284" s="5">
        <v>-4.1092304737485201E-2</v>
      </c>
      <c r="EX284" s="5">
        <v>-0.133717282647802</v>
      </c>
      <c r="EY284" s="5">
        <v>-4.0078963754667596E-3</v>
      </c>
      <c r="EZ284" s="5">
        <v>-2.5239097478849701E-2</v>
      </c>
      <c r="FA284" s="5">
        <v>-5.6249743517959298E-2</v>
      </c>
      <c r="FB284" s="5">
        <v>0.65232855169010096</v>
      </c>
      <c r="FC284" s="5">
        <v>-0.59528591087717297</v>
      </c>
      <c r="FD284" s="5">
        <v>8.00397474379997E-3</v>
      </c>
      <c r="FE284" s="5">
        <v>-7.8703579520295497E-2</v>
      </c>
      <c r="FF284" s="5">
        <v>0.75277474947238099</v>
      </c>
      <c r="FG284" s="5">
        <v>-0.689655050642064</v>
      </c>
      <c r="FH284" s="5">
        <v>-0.142615406845401</v>
      </c>
      <c r="FI284" s="5">
        <v>0.13793042830633201</v>
      </c>
      <c r="FJ284" s="5">
        <v>3.00331439846293E-2</v>
      </c>
      <c r="FK284" s="5">
        <v>-0.14169190961742301</v>
      </c>
      <c r="FL284" s="5">
        <v>0.52903269216117899</v>
      </c>
      <c r="FM284" s="5">
        <v>-0.32095088429442697</v>
      </c>
      <c r="FN284" s="5">
        <v>0.175750230478466</v>
      </c>
      <c r="FO284" s="5">
        <v>-0.16297647414793401</v>
      </c>
      <c r="FP284" s="5">
        <v>-4.4651329909934E-2</v>
      </c>
      <c r="FQ284" s="5">
        <v>-5.2577518056173202E-2</v>
      </c>
      <c r="FR284" s="5">
        <v>0.13145172257601301</v>
      </c>
      <c r="FS284" s="5">
        <v>0.15274343822976599</v>
      </c>
      <c r="FT284" s="5">
        <v>-4.18840874579176E-2</v>
      </c>
      <c r="FU284" s="5">
        <v>-5.6459828008762501E-2</v>
      </c>
      <c r="FV284" s="5">
        <v>0.48949075831217898</v>
      </c>
      <c r="FW284" s="5">
        <v>-0.44850121414726601</v>
      </c>
      <c r="FX284" s="5">
        <v>-0.126855195126586</v>
      </c>
      <c r="FY284" s="5">
        <v>4.42241776682087E-2</v>
      </c>
      <c r="FZ284" s="5">
        <v>2.4290355129481699E-2</v>
      </c>
      <c r="GA284" s="5">
        <v>-0.12630071806776</v>
      </c>
      <c r="GB284" s="5">
        <v>0.63094377032454896</v>
      </c>
      <c r="GC284" s="5">
        <v>-0.57287306657278703</v>
      </c>
      <c r="GD284" s="5">
        <v>0.62633451205630697</v>
      </c>
      <c r="GE284" s="5">
        <v>-0.46116828213935601</v>
      </c>
      <c r="GF284" s="5">
        <v>-0.101535097476526</v>
      </c>
      <c r="GG284" s="5">
        <v>1.27042940375894E-2</v>
      </c>
      <c r="GH284" s="5">
        <v>0.32055605597530601</v>
      </c>
      <c r="GI284" s="5">
        <v>4.8097655241895502E-4</v>
      </c>
      <c r="GJ284" s="5">
        <v>-0.15657029352777199</v>
      </c>
      <c r="GK284" s="5">
        <v>6.4102791058674904E-2</v>
      </c>
      <c r="GL284" s="5">
        <v>0.14376658312759999</v>
      </c>
      <c r="GM284" s="5">
        <v>-0.246303548818117</v>
      </c>
      <c r="GN284" s="5">
        <v>0.61828573724921398</v>
      </c>
      <c r="GO284" s="5">
        <v>-0.60448480277189598</v>
      </c>
      <c r="GP284" s="5">
        <v>-8.4343968052896304E-2</v>
      </c>
      <c r="GQ284" s="5">
        <v>-7.6229515834071698E-2</v>
      </c>
      <c r="GR284" s="5">
        <v>-4.8476025182131503E-2</v>
      </c>
      <c r="GS284" s="5">
        <v>-4.6137614880941397E-2</v>
      </c>
      <c r="GT284" s="5">
        <v>0.153619397858445</v>
      </c>
      <c r="GU284" s="5">
        <v>-8.2623348438012098E-2</v>
      </c>
      <c r="GV284" s="5">
        <v>0.119662429673597</v>
      </c>
      <c r="GW284" s="5">
        <v>-0.15271079598114101</v>
      </c>
      <c r="GX284" s="5">
        <v>-4.6309030137675601E-2</v>
      </c>
      <c r="GY284" s="5">
        <v>-7.8226690517560496E-2</v>
      </c>
      <c r="GZ284" s="5">
        <v>0.74924999954219296</v>
      </c>
      <c r="HA284" s="5">
        <v>-0.618917725014691</v>
      </c>
      <c r="HB284" s="5">
        <v>-0.13524760600342101</v>
      </c>
      <c r="HC284" s="5">
        <v>2.00701566204276E-2</v>
      </c>
      <c r="HD284" s="5">
        <v>0.34338819985331198</v>
      </c>
      <c r="HE284" s="5">
        <v>-0.107690879832629</v>
      </c>
      <c r="HF284" s="5">
        <v>0.847140883334637</v>
      </c>
      <c r="HG284" s="5">
        <v>-0.73546803140714601</v>
      </c>
      <c r="HH284" s="5">
        <v>0.77268479449607397</v>
      </c>
      <c r="HI284" s="5">
        <v>-0.67989936183561706</v>
      </c>
      <c r="HJ284" s="5">
        <v>0.80959014708743704</v>
      </c>
      <c r="HK284" s="5">
        <v>-0.69349332928231999</v>
      </c>
      <c r="HL284" s="5">
        <v>2.2668141621235899E-2</v>
      </c>
      <c r="HM284" s="5">
        <v>-3.6410447554585199E-3</v>
      </c>
      <c r="HN284" s="5">
        <v>0.74502372195418498</v>
      </c>
      <c r="HO284" s="5">
        <v>-0.68876893419685903</v>
      </c>
      <c r="HP284" s="5">
        <v>1.52396526921732E-2</v>
      </c>
      <c r="HQ284" s="5">
        <v>-0.116006377228072</v>
      </c>
      <c r="HR284" s="5">
        <v>-5.2093765896597102E-2</v>
      </c>
      <c r="HS284" s="5">
        <v>6.0774413349878901E-3</v>
      </c>
      <c r="HT284" s="5">
        <v>0.64282673578063099</v>
      </c>
      <c r="HU284" s="5">
        <v>-0.53495589679180899</v>
      </c>
      <c r="HV284" s="5">
        <v>6.5809986366751394E-2</v>
      </c>
      <c r="HW284" s="5">
        <v>-0.13449017116477999</v>
      </c>
      <c r="HX284" s="5">
        <v>-3.94555920375756E-2</v>
      </c>
      <c r="HY284" s="5">
        <v>-3.7030558994128701E-2</v>
      </c>
      <c r="HZ284" s="5">
        <v>0.73625342733199695</v>
      </c>
      <c r="IA284" s="5">
        <v>-0.61617217890253795</v>
      </c>
      <c r="IB284" s="5">
        <v>0.55436215668982003</v>
      </c>
      <c r="IC284" s="5">
        <v>-0.40135696313351199</v>
      </c>
      <c r="ID284" s="5">
        <v>0.158624658137095</v>
      </c>
      <c r="IE284" s="5">
        <v>-0.38411611350274499</v>
      </c>
      <c r="IF284" s="5">
        <v>-3.3575178768545003E-2</v>
      </c>
      <c r="IG284" s="5">
        <v>-3.6767731819274202E-2</v>
      </c>
      <c r="IH284" s="5">
        <v>2.8191605798951899E-2</v>
      </c>
      <c r="II284" s="5">
        <v>-0.136023292762223</v>
      </c>
      <c r="IJ284" s="5">
        <v>-0.154731480112063</v>
      </c>
      <c r="IK284" s="5">
        <v>0.15745190648708099</v>
      </c>
      <c r="IL284" s="5">
        <v>2.7110633209052298E-2</v>
      </c>
      <c r="IM284" s="5">
        <v>-0.17917993184538</v>
      </c>
      <c r="IN284" s="5">
        <v>-0.101890581057031</v>
      </c>
      <c r="IO284" s="5">
        <v>2.3648956687177699E-2</v>
      </c>
      <c r="IP284" s="5">
        <v>0.196346623391875</v>
      </c>
      <c r="IQ284" s="5">
        <v>-0.30536160003081098</v>
      </c>
      <c r="IR284" s="5">
        <v>-0.13590939945536501</v>
      </c>
      <c r="IS284" s="5">
        <v>9.5135887633065797E-2</v>
      </c>
      <c r="IT284" s="5">
        <v>5.8995764227699102E-2</v>
      </c>
      <c r="IU284" s="5">
        <v>-0.15067849302532699</v>
      </c>
      <c r="IV284" s="5">
        <v>0.210932858409483</v>
      </c>
      <c r="IW284" s="5">
        <v>-0.24009844522797999</v>
      </c>
      <c r="IX284" s="5">
        <v>-2.99295643292894E-2</v>
      </c>
      <c r="IY284" s="5">
        <v>-5.3062579315326902E-2</v>
      </c>
      <c r="IZ284" s="5">
        <v>0.75804839376669497</v>
      </c>
      <c r="JA284" s="5">
        <v>-0.66040984125733604</v>
      </c>
      <c r="JB284" s="5">
        <v>0.70657527919377305</v>
      </c>
      <c r="JC284" s="5">
        <v>-0.61252180327224703</v>
      </c>
      <c r="JD284" s="5">
        <v>0.39216496652490701</v>
      </c>
      <c r="JE284" s="5">
        <v>-0.30361696740704303</v>
      </c>
      <c r="JF284" s="5">
        <v>9.6575673122166403E-2</v>
      </c>
      <c r="JG284" s="5">
        <v>-0.15428185797228899</v>
      </c>
      <c r="JH284" s="5">
        <v>0.347266810002828</v>
      </c>
      <c r="JI284" s="5">
        <v>-0.15443460559300101</v>
      </c>
      <c r="JJ284" s="5">
        <v>4.80527858729718E-2</v>
      </c>
      <c r="JK284" s="5">
        <v>-0.170914991368045</v>
      </c>
      <c r="JL284" s="5">
        <v>6.1135465721230402E-2</v>
      </c>
      <c r="JM284" s="5">
        <v>-0.14088084483361099</v>
      </c>
      <c r="JN284" s="5">
        <v>-1.06837969439127E-2</v>
      </c>
      <c r="JO284" s="5">
        <v>-8.4118250299115294E-2</v>
      </c>
      <c r="JP284" s="5">
        <v>-5.8826048683981197E-2</v>
      </c>
      <c r="JQ284" s="5">
        <v>-6.67468908870434E-3</v>
      </c>
      <c r="JR284" s="5">
        <v>-5.6564330052016498E-2</v>
      </c>
      <c r="JS284" s="5">
        <v>-8.80920166514636E-2</v>
      </c>
      <c r="JT284" s="5">
        <v>-8.2062694480885906E-2</v>
      </c>
      <c r="JU284" s="5">
        <v>1.9315868866062999E-2</v>
      </c>
      <c r="JV284" s="5">
        <v>-0.12691149386296499</v>
      </c>
      <c r="JW284" s="5">
        <v>9.2726478901756101E-2</v>
      </c>
      <c r="JX284" s="5">
        <v>1</v>
      </c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</row>
    <row r="285" spans="1:389" x14ac:dyDescent="0.45">
      <c r="A285" s="4" t="str">
        <f ca="1">"POL / beta2dist in "&amp;CELL("address",'damages-1990'!$K$143)</f>
        <v>POL / beta2dist in '[BHM betas v3pd.xlsx]damages-1990'!$K$143</v>
      </c>
      <c r="B285" s="6">
        <v>-8.2858427989609906E-2</v>
      </c>
      <c r="C285" s="5">
        <v>0.134523975446493</v>
      </c>
      <c r="D285" s="5">
        <v>-0.111872454714658</v>
      </c>
      <c r="E285" s="5">
        <v>0.281555725392167</v>
      </c>
      <c r="F285" s="5">
        <v>-0.30266956837262798</v>
      </c>
      <c r="G285" s="5">
        <v>0.39735553687203101</v>
      </c>
      <c r="H285" s="5">
        <v>-0.490988019496642</v>
      </c>
      <c r="I285" s="5">
        <v>0.48435743946767801</v>
      </c>
      <c r="J285" s="5">
        <v>0.122427856059881</v>
      </c>
      <c r="K285" s="5">
        <v>5.4610367188074202E-2</v>
      </c>
      <c r="L285" s="5">
        <v>-8.38091280443801E-4</v>
      </c>
      <c r="M285" s="5">
        <v>4.88311612703926E-3</v>
      </c>
      <c r="N285" s="5">
        <v>-0.14129867886089001</v>
      </c>
      <c r="O285" s="5">
        <v>6.1142936883220797E-2</v>
      </c>
      <c r="P285" s="5">
        <v>-4.7572921079618101E-2</v>
      </c>
      <c r="Q285" s="5">
        <v>0.19702382239504901</v>
      </c>
      <c r="R285" s="5">
        <v>0.171900187282155</v>
      </c>
      <c r="S285" s="5">
        <v>-5.5579632624325704E-3</v>
      </c>
      <c r="T285" s="5">
        <v>-0.72493072104449396</v>
      </c>
      <c r="U285" s="5">
        <v>0.76807319237096505</v>
      </c>
      <c r="V285" s="5">
        <v>-8.5899618085863993E-2</v>
      </c>
      <c r="W285" s="5">
        <v>0.149482622724393</v>
      </c>
      <c r="X285" s="5">
        <v>-7.1345229913013106E-2</v>
      </c>
      <c r="Y285" s="5">
        <v>0.201552140550355</v>
      </c>
      <c r="Z285" s="5">
        <v>-0.59749974355666202</v>
      </c>
      <c r="AA285" s="5">
        <v>0.70396581375529299</v>
      </c>
      <c r="AB285" s="5">
        <v>-0.13263555693562701</v>
      </c>
      <c r="AC285" s="5">
        <v>0.186042021730107</v>
      </c>
      <c r="AD285" s="5">
        <v>-0.14069738253206701</v>
      </c>
      <c r="AE285" s="5">
        <v>0.19283018087491799</v>
      </c>
      <c r="AF285" s="5">
        <v>0.148891712975949</v>
      </c>
      <c r="AG285" s="5">
        <v>2.2100579846538401E-2</v>
      </c>
      <c r="AH285" s="5">
        <v>-0.41760285231123601</v>
      </c>
      <c r="AI285" s="5">
        <v>0.52465282833828097</v>
      </c>
      <c r="AJ285" s="5">
        <v>0.22655553005729301</v>
      </c>
      <c r="AK285" s="5">
        <v>-1.05201601984861E-2</v>
      </c>
      <c r="AL285" s="5">
        <v>0.34869797012449599</v>
      </c>
      <c r="AM285" s="5">
        <v>-0.30839683986459299</v>
      </c>
      <c r="AN285" s="5">
        <v>-0.57888158976362902</v>
      </c>
      <c r="AO285" s="5">
        <v>0.68060430909978697</v>
      </c>
      <c r="AP285" s="5">
        <v>-0.75370517968554396</v>
      </c>
      <c r="AQ285" s="5">
        <v>0.80092568009114196</v>
      </c>
      <c r="AR285" s="5">
        <v>0.133839521623528</v>
      </c>
      <c r="AS285" s="5">
        <v>-6.61018760621109E-3</v>
      </c>
      <c r="AT285" s="5">
        <v>0.41835269770657402</v>
      </c>
      <c r="AU285" s="5">
        <v>-0.38014682377023501</v>
      </c>
      <c r="AV285" s="5">
        <v>0.19360030587871499</v>
      </c>
      <c r="AW285" s="5">
        <v>-2.0864863620651201E-2</v>
      </c>
      <c r="AX285" s="5">
        <v>0.17973581011997899</v>
      </c>
      <c r="AY285" s="5">
        <v>2.4643555584963599E-2</v>
      </c>
      <c r="AZ285" s="5">
        <v>-5.8947553070429697E-2</v>
      </c>
      <c r="BA285" s="5">
        <v>0.18754848460444401</v>
      </c>
      <c r="BB285" s="5">
        <v>3.9367973040267097E-3</v>
      </c>
      <c r="BC285" s="5">
        <v>0.221033810053542</v>
      </c>
      <c r="BD285" s="5">
        <v>-0.24093597411982001</v>
      </c>
      <c r="BE285" s="5">
        <v>0.288398416762708</v>
      </c>
      <c r="BF285" s="5">
        <v>-0.151016978062427</v>
      </c>
      <c r="BG285" s="5">
        <v>0.34687583666021699</v>
      </c>
      <c r="BH285" s="5">
        <v>-2.8402490315002499E-2</v>
      </c>
      <c r="BI285" s="5">
        <v>0.139709049818388</v>
      </c>
      <c r="BJ285" s="5">
        <v>-0.50452945615478695</v>
      </c>
      <c r="BK285" s="5">
        <v>0.36040966455692702</v>
      </c>
      <c r="BL285" s="5">
        <v>-0.62321121535573998</v>
      </c>
      <c r="BM285" s="5">
        <v>0.646413996141599</v>
      </c>
      <c r="BN285" s="5">
        <v>-0.162442050046579</v>
      </c>
      <c r="BO285" s="5">
        <v>7.7833570642002095E-2</v>
      </c>
      <c r="BP285" s="5">
        <v>-0.40449074667820401</v>
      </c>
      <c r="BQ285" s="5">
        <v>0.39847861739144802</v>
      </c>
      <c r="BR285" s="5">
        <v>-0.148856511375447</v>
      </c>
      <c r="BS285" s="5">
        <v>0.19625211159632899</v>
      </c>
      <c r="BT285" s="5">
        <v>3.2396191477042202E-2</v>
      </c>
      <c r="BU285" s="5">
        <v>0.104174108428202</v>
      </c>
      <c r="BV285" s="5">
        <v>-2.8826899985409101E-2</v>
      </c>
      <c r="BW285" s="5">
        <v>0.167373154186543</v>
      </c>
      <c r="BX285" s="5">
        <v>-4.3586034755289299E-2</v>
      </c>
      <c r="BY285" s="5">
        <v>0.15305931703278999</v>
      </c>
      <c r="BZ285" s="5">
        <v>5.58800049363797E-2</v>
      </c>
      <c r="CA285" s="5">
        <v>8.9574852016646597E-2</v>
      </c>
      <c r="CB285" s="5">
        <v>0.157016775703958</v>
      </c>
      <c r="CC285" s="5">
        <v>-5.3902567680414203E-2</v>
      </c>
      <c r="CD285" s="5">
        <v>7.80949051951534E-2</v>
      </c>
      <c r="CE285" s="5">
        <v>2.0597843829887601E-2</v>
      </c>
      <c r="CF285" s="5">
        <v>7.3657660222092303E-2</v>
      </c>
      <c r="CG285" s="5">
        <v>1.2488894241317199E-2</v>
      </c>
      <c r="CH285" s="5">
        <v>0.289478501121534</v>
      </c>
      <c r="CI285" s="5">
        <v>-0.23929970902557399</v>
      </c>
      <c r="CJ285" s="5">
        <v>0.24701770142162799</v>
      </c>
      <c r="CK285" s="5">
        <v>-0.14635503162265201</v>
      </c>
      <c r="CL285" s="5">
        <v>-0.75664213826834803</v>
      </c>
      <c r="CM285" s="5">
        <v>0.843568059869927</v>
      </c>
      <c r="CN285" s="5">
        <v>-0.71846342651629902</v>
      </c>
      <c r="CO285" s="5">
        <v>0.83353779273756101</v>
      </c>
      <c r="CP285" s="5">
        <v>-7.0901305647417895E-2</v>
      </c>
      <c r="CQ285" s="5">
        <v>0.101252485780565</v>
      </c>
      <c r="CR285" s="5">
        <v>-3.8459526181093398E-2</v>
      </c>
      <c r="CS285" s="5">
        <v>0.17713604020756701</v>
      </c>
      <c r="CT285" s="5">
        <v>-0.72775004311380898</v>
      </c>
      <c r="CU285" s="5">
        <v>0.78516367362006501</v>
      </c>
      <c r="CV285" s="5">
        <v>-0.111320208179595</v>
      </c>
      <c r="CW285" s="5">
        <v>0.230352326934603</v>
      </c>
      <c r="CX285" s="5">
        <v>8.9713022079981705E-2</v>
      </c>
      <c r="CY285" s="5">
        <v>8.0180449039328403E-2</v>
      </c>
      <c r="CZ285" s="5">
        <v>1.9496744391196301E-2</v>
      </c>
      <c r="DA285" s="5">
        <v>0.132952134716042</v>
      </c>
      <c r="DB285" s="5">
        <v>0.164584988326031</v>
      </c>
      <c r="DC285" s="5">
        <v>8.7706409736981003E-2</v>
      </c>
      <c r="DD285" s="5">
        <v>-0.10431222609799599</v>
      </c>
      <c r="DE285" s="5">
        <v>0.14530164887783401</v>
      </c>
      <c r="DF285" s="5">
        <v>0.265249689027512</v>
      </c>
      <c r="DG285" s="5">
        <v>-0.173216726544107</v>
      </c>
      <c r="DH285" s="5">
        <v>-0.124855630504844</v>
      </c>
      <c r="DI285" s="5">
        <v>0.21768823610803401</v>
      </c>
      <c r="DJ285" s="5">
        <v>-0.71575221749164497</v>
      </c>
      <c r="DK285" s="5">
        <v>0.75286732258052103</v>
      </c>
      <c r="DL285" s="5">
        <v>-4.6736968782851399E-2</v>
      </c>
      <c r="DM285" s="5">
        <v>0.118024145935685</v>
      </c>
      <c r="DN285" s="5">
        <v>-0.66131286114199905</v>
      </c>
      <c r="DO285" s="5">
        <v>0.68660949539637794</v>
      </c>
      <c r="DP285" s="5">
        <v>-3.7417980559530101E-4</v>
      </c>
      <c r="DQ285" s="5">
        <v>8.6531038107359098E-2</v>
      </c>
      <c r="DR285" s="5">
        <v>-0.45357007652791498</v>
      </c>
      <c r="DS285" s="5">
        <v>0.58754054557084501</v>
      </c>
      <c r="DT285" s="5">
        <v>0.113943912659714</v>
      </c>
      <c r="DU285" s="5">
        <v>-6.5616040018752195E-2</v>
      </c>
      <c r="DV285" s="5">
        <v>-0.10396707371720799</v>
      </c>
      <c r="DW285" s="5">
        <v>0.19397273669746301</v>
      </c>
      <c r="DX285" s="5">
        <v>-0.54121858129079103</v>
      </c>
      <c r="DY285" s="5">
        <v>0.57098714254396299</v>
      </c>
      <c r="DZ285" s="5">
        <v>-0.22731523301140699</v>
      </c>
      <c r="EA285" s="5">
        <v>0.19613214462334899</v>
      </c>
      <c r="EB285" s="5">
        <v>-8.1911954719889601E-2</v>
      </c>
      <c r="EC285" s="5">
        <v>0.152195712989909</v>
      </c>
      <c r="ED285" s="5">
        <v>-0.10288672680132301</v>
      </c>
      <c r="EE285" s="5">
        <v>0.193102766592056</v>
      </c>
      <c r="EF285" s="5">
        <v>-6.5415782565831498E-2</v>
      </c>
      <c r="EG285" s="5">
        <v>0.200463234976371</v>
      </c>
      <c r="EH285" s="5">
        <v>-1.70582104749568E-2</v>
      </c>
      <c r="EI285" s="5">
        <v>0.14949401744775301</v>
      </c>
      <c r="EJ285" s="5">
        <v>-5.9999762738016098E-2</v>
      </c>
      <c r="EK285" s="5">
        <v>0.201086246514943</v>
      </c>
      <c r="EL285" s="5">
        <v>0.159654742807077</v>
      </c>
      <c r="EM285" s="5">
        <v>-8.5904465260067397E-2</v>
      </c>
      <c r="EN285" s="5">
        <v>6.6493382901679707E-2</v>
      </c>
      <c r="EO285" s="5">
        <v>-2.1182966943268301E-2</v>
      </c>
      <c r="EP285" s="5">
        <v>-7.4714160569895494E-2</v>
      </c>
      <c r="EQ285" s="5">
        <v>0.21298181624936999</v>
      </c>
      <c r="ER285" s="5">
        <v>8.7314590281135404E-2</v>
      </c>
      <c r="ES285" s="5">
        <v>5.5245980328615697E-2</v>
      </c>
      <c r="ET285" s="5">
        <v>9.9376578313109004E-2</v>
      </c>
      <c r="EU285" s="5">
        <v>7.4972665926538298E-2</v>
      </c>
      <c r="EV285" s="5">
        <v>0.14078550711697299</v>
      </c>
      <c r="EW285" s="5">
        <v>6.4158851429121297E-2</v>
      </c>
      <c r="EX285" s="5">
        <v>0.19508830654925</v>
      </c>
      <c r="EY285" s="5">
        <v>6.9477189363911101E-4</v>
      </c>
      <c r="EZ285" s="5">
        <v>6.0893906446506399E-2</v>
      </c>
      <c r="FA285" s="5">
        <v>7.8107392332912903E-2</v>
      </c>
      <c r="FB285" s="5">
        <v>-0.44644880499157202</v>
      </c>
      <c r="FC285" s="5">
        <v>0.57844849758132599</v>
      </c>
      <c r="FD285" s="5">
        <v>2.5367239783439601E-2</v>
      </c>
      <c r="FE285" s="5">
        <v>8.3294770364416196E-2</v>
      </c>
      <c r="FF285" s="5">
        <v>-0.57577479933134901</v>
      </c>
      <c r="FG285" s="5">
        <v>0.704803280902768</v>
      </c>
      <c r="FH285" s="5">
        <v>0.213712286128247</v>
      </c>
      <c r="FI285" s="5">
        <v>-0.19276676961561501</v>
      </c>
      <c r="FJ285" s="5">
        <v>3.0586466446512198E-2</v>
      </c>
      <c r="FK285" s="5">
        <v>0.15064207907240099</v>
      </c>
      <c r="FL285" s="5">
        <v>-0.35987304414783999</v>
      </c>
      <c r="FM285" s="5">
        <v>0.31618837020835999</v>
      </c>
      <c r="FN285" s="5">
        <v>-3.0153759408035101E-2</v>
      </c>
      <c r="FO285" s="5">
        <v>0.13640367989522201</v>
      </c>
      <c r="FP285" s="5">
        <v>0.12581240538159599</v>
      </c>
      <c r="FQ285" s="5">
        <v>3.6009386635536801E-2</v>
      </c>
      <c r="FR285" s="5">
        <v>-3.6465364884427302E-2</v>
      </c>
      <c r="FS285" s="5">
        <v>-0.16366947823495401</v>
      </c>
      <c r="FT285" s="5">
        <v>0.160670868796219</v>
      </c>
      <c r="FU285" s="5">
        <v>3.2840817322714301E-2</v>
      </c>
      <c r="FV285" s="5">
        <v>-0.24829699848012199</v>
      </c>
      <c r="FW285" s="5">
        <v>0.37154698642241302</v>
      </c>
      <c r="FX285" s="5">
        <v>0.18196089827895801</v>
      </c>
      <c r="FY285" s="5">
        <v>-5.8521709784795303E-2</v>
      </c>
      <c r="FZ285" s="5">
        <v>0.104058591431943</v>
      </c>
      <c r="GA285" s="5">
        <v>0.10491451970320401</v>
      </c>
      <c r="GB285" s="5">
        <v>-0.41262629539637302</v>
      </c>
      <c r="GC285" s="5">
        <v>0.55055109256177903</v>
      </c>
      <c r="GD285" s="5">
        <v>-0.51790300993076299</v>
      </c>
      <c r="GE285" s="5">
        <v>0.51088444921696696</v>
      </c>
      <c r="GF285" s="5">
        <v>0.14875392328626999</v>
      </c>
      <c r="GG285" s="5">
        <v>-2.1778598736924598E-3</v>
      </c>
      <c r="GH285" s="5">
        <v>-0.15813383172027701</v>
      </c>
      <c r="GI285" s="5">
        <v>-5.18943240425771E-2</v>
      </c>
      <c r="GJ285" s="5">
        <v>0.202289107543486</v>
      </c>
      <c r="GK285" s="5">
        <v>-8.6557791017960101E-2</v>
      </c>
      <c r="GL285" s="5">
        <v>-0.15354139219377599</v>
      </c>
      <c r="GM285" s="5">
        <v>0.292871385874094</v>
      </c>
      <c r="GN285" s="5">
        <v>-0.362640648108425</v>
      </c>
      <c r="GO285" s="5">
        <v>0.52258471801451201</v>
      </c>
      <c r="GP285" s="5">
        <v>0.143629520873469</v>
      </c>
      <c r="GQ285" s="5">
        <v>6.4638463586076694E-2</v>
      </c>
      <c r="GR285" s="5">
        <v>0.117031471451309</v>
      </c>
      <c r="GS285" s="5">
        <v>2.90807773557577E-2</v>
      </c>
      <c r="GT285" s="5">
        <v>3.1413749189143303E-2</v>
      </c>
      <c r="GU285" s="5">
        <v>4.51266597987681E-2</v>
      </c>
      <c r="GV285" s="5">
        <v>-9.5796893490366505E-2</v>
      </c>
      <c r="GW285" s="5">
        <v>0.16885263739416101</v>
      </c>
      <c r="GX285" s="5">
        <v>0.118720767452727</v>
      </c>
      <c r="GY285" s="5">
        <v>6.6880803857605503E-2</v>
      </c>
      <c r="GZ285" s="5">
        <v>-0.66304674296841604</v>
      </c>
      <c r="HA285" s="5">
        <v>0.69374072159860101</v>
      </c>
      <c r="HB285" s="5">
        <v>0.19333570984109899</v>
      </c>
      <c r="HC285" s="5">
        <v>-3.1645257886329901E-2</v>
      </c>
      <c r="HD285" s="5">
        <v>-8.1752353758103899E-2</v>
      </c>
      <c r="HE285" s="5">
        <v>3.3808393735607303E-2</v>
      </c>
      <c r="HF285" s="5">
        <v>-0.77993890506334596</v>
      </c>
      <c r="HG285" s="5">
        <v>0.83233478604039501</v>
      </c>
      <c r="HH285" s="5">
        <v>-0.62011146423441899</v>
      </c>
      <c r="HI285" s="5">
        <v>0.72489598108097997</v>
      </c>
      <c r="HJ285" s="5">
        <v>-0.76166533218076005</v>
      </c>
      <c r="HK285" s="5">
        <v>0.79880149643638099</v>
      </c>
      <c r="HL285" s="5">
        <v>0.15552378039670001</v>
      </c>
      <c r="HM285" s="5">
        <v>-6.3897923815940796E-2</v>
      </c>
      <c r="HN285" s="5">
        <v>-0.59033367208681398</v>
      </c>
      <c r="HO285" s="5">
        <v>0.73332609449545805</v>
      </c>
      <c r="HP285" s="5">
        <v>8.3988679382609094E-2</v>
      </c>
      <c r="HQ285" s="5">
        <v>9.4697097342567996E-2</v>
      </c>
      <c r="HR285" s="5">
        <v>0.16319905274917801</v>
      </c>
      <c r="HS285" s="5">
        <v>-4.3680669940101301E-2</v>
      </c>
      <c r="HT285" s="5">
        <v>-0.43945157137756102</v>
      </c>
      <c r="HU285" s="5">
        <v>0.52441089251293704</v>
      </c>
      <c r="HV285" s="5">
        <v>-4.6766857038469098E-2</v>
      </c>
      <c r="HW285" s="5">
        <v>0.15243206747788501</v>
      </c>
      <c r="HX285" s="5">
        <v>0.13552517149766199</v>
      </c>
      <c r="HY285" s="5">
        <v>-2.0489818974714501E-3</v>
      </c>
      <c r="HZ285" s="5">
        <v>-0.57988801145607505</v>
      </c>
      <c r="IA285" s="5">
        <v>0.65585985441045103</v>
      </c>
      <c r="IB285" s="5">
        <v>-0.48108005074059901</v>
      </c>
      <c r="IC285" s="5">
        <v>0.436003675187906</v>
      </c>
      <c r="ID285" s="5">
        <v>-0.124236229789691</v>
      </c>
      <c r="IE285" s="5">
        <v>0.42981685711168399</v>
      </c>
      <c r="IF285" s="5">
        <v>9.8199581239367298E-2</v>
      </c>
      <c r="IG285" s="5">
        <v>1.16561929735338E-2</v>
      </c>
      <c r="IH285" s="5">
        <v>-1.9848446399742901E-2</v>
      </c>
      <c r="II285" s="5">
        <v>0.16580289200092299</v>
      </c>
      <c r="IJ285" s="5">
        <v>0.17613642896209</v>
      </c>
      <c r="IK285" s="5">
        <v>-0.15789699776111499</v>
      </c>
      <c r="IL285" s="5">
        <v>4.7313681388644398E-2</v>
      </c>
      <c r="IM285" s="5">
        <v>0.17565967356935899</v>
      </c>
      <c r="IN285" s="5">
        <v>0.15571599321787399</v>
      </c>
      <c r="IO285" s="5">
        <v>-2.8196355889782799E-2</v>
      </c>
      <c r="IP285" s="5">
        <v>-0.14442145598801501</v>
      </c>
      <c r="IQ285" s="5">
        <v>0.35129507424015199</v>
      </c>
      <c r="IR285" s="5">
        <v>0.24478076100979801</v>
      </c>
      <c r="IS285" s="5">
        <v>-0.14658577278497101</v>
      </c>
      <c r="IT285" s="5">
        <v>-4.1484040274697299E-2</v>
      </c>
      <c r="IU285" s="5">
        <v>0.17749865530106201</v>
      </c>
      <c r="IV285" s="5">
        <v>-0.20833947778030201</v>
      </c>
      <c r="IW285" s="5">
        <v>0.27310829290330402</v>
      </c>
      <c r="IX285" s="5">
        <v>5.48335085813434E-2</v>
      </c>
      <c r="IY285" s="5">
        <v>6.8417439075626904E-2</v>
      </c>
      <c r="IZ285" s="5">
        <v>-0.63109822445993902</v>
      </c>
      <c r="JA285" s="5">
        <v>0.72638948212805898</v>
      </c>
      <c r="JB285" s="5">
        <v>-0.66624431217160296</v>
      </c>
      <c r="JC285" s="5">
        <v>0.71314769003841205</v>
      </c>
      <c r="JD285" s="5">
        <v>-0.13261050054410101</v>
      </c>
      <c r="JE285" s="5">
        <v>0.21093176330945801</v>
      </c>
      <c r="JF285" s="5">
        <v>-0.14555756434193601</v>
      </c>
      <c r="JG285" s="5">
        <v>0.22314244334552899</v>
      </c>
      <c r="JH285" s="5">
        <v>-9.3665539774855602E-2</v>
      </c>
      <c r="JI285" s="5">
        <v>7.6391895532558401E-2</v>
      </c>
      <c r="JJ285" s="5">
        <v>1.02485252813147E-2</v>
      </c>
      <c r="JK285" s="5">
        <v>0.181552827751221</v>
      </c>
      <c r="JL285" s="5">
        <v>4.8926737885312002E-2</v>
      </c>
      <c r="JM285" s="5">
        <v>0.12520881973987</v>
      </c>
      <c r="JN285" s="5">
        <v>2.4831664346126499E-2</v>
      </c>
      <c r="JO285" s="5">
        <v>0.105358645374818</v>
      </c>
      <c r="JP285" s="5">
        <v>0.15661821725917699</v>
      </c>
      <c r="JQ285" s="5">
        <v>-8.8256830950743607E-3</v>
      </c>
      <c r="JR285" s="5">
        <v>0.12783084851983401</v>
      </c>
      <c r="JS285" s="5">
        <v>7.9350524568734995E-2</v>
      </c>
      <c r="JT285" s="5">
        <v>0.11962669082261899</v>
      </c>
      <c r="JU285" s="5">
        <v>-4.2315004803206303E-2</v>
      </c>
      <c r="JV285" s="5">
        <v>0.22193670749216801</v>
      </c>
      <c r="JW285" s="5">
        <v>-0.158837977830627</v>
      </c>
      <c r="JX285" s="5">
        <v>-0.90549620460049196</v>
      </c>
      <c r="JY285" s="5">
        <v>1</v>
      </c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</row>
    <row r="286" spans="1:389" x14ac:dyDescent="0.45">
      <c r="A286" s="4" t="str">
        <f ca="1">"PRI / beta1dist in "&amp;CELL("address",'damages-1990'!$J$144)</f>
        <v>PRI / beta1dist in '[BHM betas v3pd.xlsx]damages-1990'!$J$144</v>
      </c>
      <c r="B286" s="6">
        <v>0.11826254082883</v>
      </c>
      <c r="C286" s="5">
        <v>2.1310901696491601E-2</v>
      </c>
      <c r="D286" s="5">
        <v>0.44281677048478402</v>
      </c>
      <c r="E286" s="5">
        <v>-0.419099395574482</v>
      </c>
      <c r="F286" s="5">
        <v>9.7737878029617906E-2</v>
      </c>
      <c r="G286" s="5">
        <v>5.3979809489502302E-3</v>
      </c>
      <c r="H286" s="5">
        <v>-6.3348615423238996E-2</v>
      </c>
      <c r="I286" s="5">
        <v>6.8721592882883598E-2</v>
      </c>
      <c r="J286" s="5">
        <v>0.28575674208905599</v>
      </c>
      <c r="K286" s="5">
        <v>-0.20711031400909299</v>
      </c>
      <c r="L286" s="5">
        <v>6.0031172641303102E-2</v>
      </c>
      <c r="M286" s="5">
        <v>0.14465003836364401</v>
      </c>
      <c r="N286" s="5">
        <v>7.4207327003912305E-2</v>
      </c>
      <c r="O286" s="5">
        <v>-9.0069047477243799E-2</v>
      </c>
      <c r="P286" s="5">
        <v>0.81852085185094803</v>
      </c>
      <c r="Q286" s="5">
        <v>-0.72574163234715106</v>
      </c>
      <c r="R286" s="5">
        <v>0.31977482289482101</v>
      </c>
      <c r="S286" s="5">
        <v>-0.33667210565773897</v>
      </c>
      <c r="T286" s="5">
        <v>0.17816266320608101</v>
      </c>
      <c r="U286" s="5">
        <v>-0.21045510107456999</v>
      </c>
      <c r="V286" s="5">
        <v>7.3021103215268293E-2</v>
      </c>
      <c r="W286" s="5">
        <v>0.123899559148321</v>
      </c>
      <c r="X286" s="5">
        <v>0.47505367674113202</v>
      </c>
      <c r="Y286" s="5">
        <v>-0.43211108529258502</v>
      </c>
      <c r="Z286" s="5">
        <v>0.124796794424077</v>
      </c>
      <c r="AA286" s="5">
        <v>-9.6185405630642803E-2</v>
      </c>
      <c r="AB286" s="5">
        <v>0.45064076621959598</v>
      </c>
      <c r="AC286" s="5">
        <v>-0.50260700315832096</v>
      </c>
      <c r="AD286" s="5">
        <v>0.48469911312978298</v>
      </c>
      <c r="AE286" s="5">
        <v>-0.50545765789798502</v>
      </c>
      <c r="AF286" s="5">
        <v>0.19306855096649</v>
      </c>
      <c r="AG286" s="5">
        <v>-0.1424372238768</v>
      </c>
      <c r="AH286" s="5">
        <v>0.107368144002337</v>
      </c>
      <c r="AI286" s="5">
        <v>-3.3601971161071401E-2</v>
      </c>
      <c r="AJ286" s="5">
        <v>0.25338732500678901</v>
      </c>
      <c r="AK286" s="5">
        <v>-0.150130034865294</v>
      </c>
      <c r="AL286" s="5">
        <v>0.11133214156617301</v>
      </c>
      <c r="AM286" s="5">
        <v>-2.9797264683593099E-2</v>
      </c>
      <c r="AN286" s="5">
        <v>0.15417553207599199</v>
      </c>
      <c r="AO286" s="5">
        <v>-0.149885329385266</v>
      </c>
      <c r="AP286" s="5">
        <v>-7.3998420479052798E-3</v>
      </c>
      <c r="AQ286" s="5">
        <v>9.2252042043582793E-3</v>
      </c>
      <c r="AR286" s="5">
        <v>0.235151344087557</v>
      </c>
      <c r="AS286" s="5">
        <v>-0.184380997974951</v>
      </c>
      <c r="AT286" s="5">
        <v>-7.8108779510829895E-2</v>
      </c>
      <c r="AU286" s="5">
        <v>0.18779631334024099</v>
      </c>
      <c r="AV286" s="5">
        <v>0.34532679161902402</v>
      </c>
      <c r="AW286" s="5">
        <v>-0.43849975214171799</v>
      </c>
      <c r="AX286" s="5">
        <v>0.419229494451272</v>
      </c>
      <c r="AY286" s="5">
        <v>-0.51403978352747304</v>
      </c>
      <c r="AZ286" s="5">
        <v>0.66646364590064699</v>
      </c>
      <c r="BA286" s="5">
        <v>-0.59235772594951497</v>
      </c>
      <c r="BB286" s="5">
        <v>0.29638136632574902</v>
      </c>
      <c r="BC286" s="5">
        <v>-0.26911357690238302</v>
      </c>
      <c r="BD286" s="5">
        <v>8.3104541396006204E-2</v>
      </c>
      <c r="BE286" s="5">
        <v>2.9340868629112799E-2</v>
      </c>
      <c r="BF286" s="5">
        <v>0.39954121444635599</v>
      </c>
      <c r="BG286" s="5">
        <v>-0.35397818696133498</v>
      </c>
      <c r="BH286" s="5">
        <v>0.47606788983447201</v>
      </c>
      <c r="BI286" s="5">
        <v>-0.50473285333795503</v>
      </c>
      <c r="BJ286" s="5">
        <v>-0.17474568327457499</v>
      </c>
      <c r="BK286" s="5">
        <v>0.246197964734301</v>
      </c>
      <c r="BL286" s="5">
        <v>0.17568946724770501</v>
      </c>
      <c r="BM286" s="5">
        <v>-0.21211102354158901</v>
      </c>
      <c r="BN286" s="5">
        <v>0.113725493228402</v>
      </c>
      <c r="BO286" s="5">
        <v>-9.9482374017086803E-2</v>
      </c>
      <c r="BP286" s="5">
        <v>-0.10521255377781701</v>
      </c>
      <c r="BQ286" s="5">
        <v>0.26142939299071799</v>
      </c>
      <c r="BR286" s="5">
        <v>0.53573732817637898</v>
      </c>
      <c r="BS286" s="5">
        <v>-0.55381364019477797</v>
      </c>
      <c r="BT286" s="5">
        <v>0.49289360534899301</v>
      </c>
      <c r="BU286" s="5">
        <v>-0.55081966962447304</v>
      </c>
      <c r="BV286" s="5">
        <v>0.433773548821627</v>
      </c>
      <c r="BW286" s="5">
        <v>-0.43867150894663198</v>
      </c>
      <c r="BX286" s="5">
        <v>0.33245336066333298</v>
      </c>
      <c r="BY286" s="5">
        <v>-0.35888334703710101</v>
      </c>
      <c r="BZ286" s="5">
        <v>0.40626930071307699</v>
      </c>
      <c r="CA286" s="5">
        <v>-0.46839394833259901</v>
      </c>
      <c r="CB286" s="5">
        <v>0.32877301656003499</v>
      </c>
      <c r="CC286" s="5">
        <v>-0.40985865098414298</v>
      </c>
      <c r="CD286" s="5">
        <v>0.43455530874471299</v>
      </c>
      <c r="CE286" s="5">
        <v>-0.44053451821839001</v>
      </c>
      <c r="CF286" s="5">
        <v>0.52847824843394997</v>
      </c>
      <c r="CG286" s="5">
        <v>-0.50523398759156601</v>
      </c>
      <c r="CH286" s="5">
        <v>4.2672454372299301E-2</v>
      </c>
      <c r="CI286" s="5">
        <v>1.56126631674018E-2</v>
      </c>
      <c r="CJ286" s="5">
        <v>6.2929619511612203E-2</v>
      </c>
      <c r="CK286" s="5">
        <v>7.5924202732707599E-2</v>
      </c>
      <c r="CL286" s="5">
        <v>0.136664533259442</v>
      </c>
      <c r="CM286" s="5">
        <v>-0.13609060014605001</v>
      </c>
      <c r="CN286" s="5">
        <v>0.116543346317803</v>
      </c>
      <c r="CO286" s="5">
        <v>-9.3380746498626599E-2</v>
      </c>
      <c r="CP286" s="5">
        <v>0.34762013932753699</v>
      </c>
      <c r="CQ286" s="5">
        <v>-0.325484840568663</v>
      </c>
      <c r="CR286" s="5">
        <v>0.81480077403504403</v>
      </c>
      <c r="CS286" s="5">
        <v>-0.71518898511718698</v>
      </c>
      <c r="CT286" s="5">
        <v>7.3775708826295902E-2</v>
      </c>
      <c r="CU286" s="5">
        <v>-5.3137523686502902E-2</v>
      </c>
      <c r="CV286" s="5">
        <v>0.72869684347737496</v>
      </c>
      <c r="CW286" s="5">
        <v>-0.63584575680454802</v>
      </c>
      <c r="CX286" s="5">
        <v>0.32902918983315099</v>
      </c>
      <c r="CY286" s="5">
        <v>-0.26058054693659799</v>
      </c>
      <c r="CZ286" s="5">
        <v>0.44187360668459402</v>
      </c>
      <c r="DA286" s="5">
        <v>-0.49481579965489902</v>
      </c>
      <c r="DB286" s="5">
        <v>0.26583473667676999</v>
      </c>
      <c r="DC286" s="5">
        <v>-0.100188354150981</v>
      </c>
      <c r="DD286" s="5">
        <v>0.43165847105690602</v>
      </c>
      <c r="DE286" s="5">
        <v>-0.38667698627481301</v>
      </c>
      <c r="DF286" s="5">
        <v>0.44298243026967199</v>
      </c>
      <c r="DG286" s="5">
        <v>-0.39073711236248798</v>
      </c>
      <c r="DH286" s="5">
        <v>0.230090569768091</v>
      </c>
      <c r="DI286" s="5">
        <v>-0.171512901189353</v>
      </c>
      <c r="DJ286" s="5">
        <v>-1.5814767421989201E-2</v>
      </c>
      <c r="DK286" s="5">
        <v>1.4646545407663599E-2</v>
      </c>
      <c r="DL286" s="5">
        <v>0.38100165753915599</v>
      </c>
      <c r="DM286" s="5">
        <v>-0.361338903566995</v>
      </c>
      <c r="DN286" s="5">
        <v>-4.5725507848186998E-2</v>
      </c>
      <c r="DO286" s="5">
        <v>4.9732935918764203E-2</v>
      </c>
      <c r="DP286" s="5">
        <v>-0.192552230232478</v>
      </c>
      <c r="DQ286" s="5">
        <v>0.34349384892288898</v>
      </c>
      <c r="DR286" s="5">
        <v>0.13142497195934499</v>
      </c>
      <c r="DS286" s="5">
        <v>-9.27877742754738E-2</v>
      </c>
      <c r="DT286" s="5">
        <v>0.112414406062985</v>
      </c>
      <c r="DU286" s="5">
        <v>-6.5626306170664603E-2</v>
      </c>
      <c r="DV286" s="5">
        <v>0.35001825515964702</v>
      </c>
      <c r="DW286" s="5">
        <v>-0.36424033737182898</v>
      </c>
      <c r="DX286" s="5">
        <v>5.4162838648517599E-2</v>
      </c>
      <c r="DY286" s="5">
        <v>-4.5352773732143699E-2</v>
      </c>
      <c r="DZ286" s="5">
        <v>4.9797322901451301E-2</v>
      </c>
      <c r="EA286" s="5">
        <v>-6.6607189590819099E-2</v>
      </c>
      <c r="EB286" s="5">
        <v>0.56411385184080798</v>
      </c>
      <c r="EC286" s="5">
        <v>-0.57052935762392898</v>
      </c>
      <c r="ED286" s="5">
        <v>0.48404582169098898</v>
      </c>
      <c r="EE286" s="5">
        <v>-0.493978409473734</v>
      </c>
      <c r="EF286" s="5">
        <v>0.82842423683141797</v>
      </c>
      <c r="EG286" s="5">
        <v>-0.72266713309153197</v>
      </c>
      <c r="EH286" s="5">
        <v>0.51683505718564005</v>
      </c>
      <c r="EI286" s="5">
        <v>-0.50492488508227096</v>
      </c>
      <c r="EJ286" s="5">
        <v>0.49836824683814901</v>
      </c>
      <c r="EK286" s="5">
        <v>-0.501319747279664</v>
      </c>
      <c r="EL286" s="5">
        <v>0.48156108318155999</v>
      </c>
      <c r="EM286" s="5">
        <v>-0.51682478172533497</v>
      </c>
      <c r="EN286" s="5">
        <v>-2.50996071790206E-2</v>
      </c>
      <c r="EO286" s="5">
        <v>0.18911657612319399</v>
      </c>
      <c r="EP286" s="5">
        <v>0.670411582644725</v>
      </c>
      <c r="EQ286" s="5">
        <v>-0.61627335741591405</v>
      </c>
      <c r="ER286" s="5">
        <v>0.211107900417737</v>
      </c>
      <c r="ES286" s="5">
        <v>-0.189148243247548</v>
      </c>
      <c r="ET286" s="5">
        <v>0.46771139847623899</v>
      </c>
      <c r="EU286" s="5">
        <v>-0.49806820011873798</v>
      </c>
      <c r="EV286" s="5">
        <v>0.47655294818233102</v>
      </c>
      <c r="EW286" s="5">
        <v>-0.51869028171602705</v>
      </c>
      <c r="EX286" s="5">
        <v>0.11274379651015</v>
      </c>
      <c r="EY286" s="5">
        <v>-9.1707212566504007E-2</v>
      </c>
      <c r="EZ286" s="5">
        <v>0.29591866489002</v>
      </c>
      <c r="FA286" s="5">
        <v>-0.26293882498049798</v>
      </c>
      <c r="FB286" s="5">
        <v>0.14185685286345501</v>
      </c>
      <c r="FC286" s="5">
        <v>-8.3686673363612907E-2</v>
      </c>
      <c r="FD286" s="5">
        <v>0.60804502527084103</v>
      </c>
      <c r="FE286" s="5">
        <v>-0.56193829043934895</v>
      </c>
      <c r="FF286" s="5">
        <v>0.11803159682721399</v>
      </c>
      <c r="FG286" s="5">
        <v>-5.9511734855327299E-2</v>
      </c>
      <c r="FH286" s="5">
        <v>0.165029251585809</v>
      </c>
      <c r="FI286" s="5">
        <v>-0.10619464106095999</v>
      </c>
      <c r="FJ286" s="5">
        <v>0.28172562417871599</v>
      </c>
      <c r="FK286" s="5">
        <v>-0.20270971496680301</v>
      </c>
      <c r="FL286" s="5">
        <v>-7.6211829243064397E-2</v>
      </c>
      <c r="FM286" s="5">
        <v>0.101826361361431</v>
      </c>
      <c r="FN286" s="5">
        <v>0.124089790386214</v>
      </c>
      <c r="FO286" s="5">
        <v>5.35680036621312E-2</v>
      </c>
      <c r="FP286" s="5">
        <v>0.23758846578664</v>
      </c>
      <c r="FQ286" s="5">
        <v>-6.5100307195515406E-2</v>
      </c>
      <c r="FR286" s="5">
        <v>-6.4796060995986796E-2</v>
      </c>
      <c r="FS286" s="5">
        <v>6.8110586488706701E-2</v>
      </c>
      <c r="FT286" s="5">
        <v>0.20600942487857199</v>
      </c>
      <c r="FU286" s="5">
        <v>-6.6089465287565499E-3</v>
      </c>
      <c r="FV286" s="5">
        <v>0.118583120720788</v>
      </c>
      <c r="FW286" s="5">
        <v>-1.9379962934161599E-2</v>
      </c>
      <c r="FX286" s="5">
        <v>0.57910583096685497</v>
      </c>
      <c r="FY286" s="5">
        <v>-0.54871543354682395</v>
      </c>
      <c r="FZ286" s="5">
        <v>0.24561445368456</v>
      </c>
      <c r="GA286" s="5">
        <v>-3.8113109421787E-2</v>
      </c>
      <c r="GB286" s="5">
        <v>5.2646296910605801E-2</v>
      </c>
      <c r="GC286" s="5">
        <v>7.6052620013457306E-2</v>
      </c>
      <c r="GD286" s="5">
        <v>-6.5115852187464907E-2</v>
      </c>
      <c r="GE286" s="5">
        <v>7.5475839731212704E-2</v>
      </c>
      <c r="GF286" s="5">
        <v>0.20766584511164901</v>
      </c>
      <c r="GG286" s="5">
        <v>-0.21828577312206601</v>
      </c>
      <c r="GH286" s="5">
        <v>-0.152386504438978</v>
      </c>
      <c r="GI286" s="5">
        <v>0.16624756989098199</v>
      </c>
      <c r="GJ286" s="5">
        <v>0.33439011444594602</v>
      </c>
      <c r="GK286" s="5">
        <v>-0.37186024636881099</v>
      </c>
      <c r="GL286" s="5">
        <v>0.82361502909468598</v>
      </c>
      <c r="GM286" s="5">
        <v>-0.69516825789700498</v>
      </c>
      <c r="GN286" s="5">
        <v>7.6036663441046107E-2</v>
      </c>
      <c r="GO286" s="5">
        <v>4.8599264401256503E-2</v>
      </c>
      <c r="GP286" s="5">
        <v>0.29432978225490802</v>
      </c>
      <c r="GQ286" s="5">
        <v>-0.15893828807636101</v>
      </c>
      <c r="GR286" s="5">
        <v>0.36227776597924599</v>
      </c>
      <c r="GS286" s="5">
        <v>-0.395985828158405</v>
      </c>
      <c r="GT286" s="5">
        <v>0.116420755695312</v>
      </c>
      <c r="GU286" s="5">
        <v>9.8538574610750093E-2</v>
      </c>
      <c r="GV286" s="5">
        <v>0.47363479331140601</v>
      </c>
      <c r="GW286" s="5">
        <v>-0.57337554307154703</v>
      </c>
      <c r="GX286" s="5">
        <v>0.19993988912556199</v>
      </c>
      <c r="GY286" s="5">
        <v>-8.26161377012508E-2</v>
      </c>
      <c r="GZ286" s="5">
        <v>0.16838987519033199</v>
      </c>
      <c r="HA286" s="5">
        <v>-0.196677475648385</v>
      </c>
      <c r="HB286" s="5">
        <v>0.41236788584706202</v>
      </c>
      <c r="HC286" s="5">
        <v>-0.47148295224928299</v>
      </c>
      <c r="HD286" s="5">
        <v>9.2468238920225196E-2</v>
      </c>
      <c r="HE286" s="5">
        <v>-1.5192595260804499E-2</v>
      </c>
      <c r="HF286" s="5">
        <v>1.5903782368764299E-2</v>
      </c>
      <c r="HG286" s="5">
        <v>-8.2395767898240501E-3</v>
      </c>
      <c r="HH286" s="5">
        <v>0.119447940424715</v>
      </c>
      <c r="HI286" s="5">
        <v>-9.5006347338550498E-2</v>
      </c>
      <c r="HJ286" s="5">
        <v>-9.4590345888425405E-3</v>
      </c>
      <c r="HK286" s="5">
        <v>1.26003781870821E-2</v>
      </c>
      <c r="HL286" s="5">
        <v>0.40791309894297001</v>
      </c>
      <c r="HM286" s="5">
        <v>-0.37174096039093002</v>
      </c>
      <c r="HN286" s="5">
        <v>5.7493874438652601E-2</v>
      </c>
      <c r="HO286" s="5">
        <v>-8.9851813397147894E-3</v>
      </c>
      <c r="HP286" s="5">
        <v>0.18324195668221399</v>
      </c>
      <c r="HQ286" s="5">
        <v>-0.16055644879043501</v>
      </c>
      <c r="HR286" s="5">
        <v>0.256043241673517</v>
      </c>
      <c r="HS286" s="5">
        <v>-0.26399045865435</v>
      </c>
      <c r="HT286" s="5">
        <v>0.13305698998356899</v>
      </c>
      <c r="HU286" s="5">
        <v>-8.6382878575771205E-2</v>
      </c>
      <c r="HV286" s="5">
        <v>0.40681659005102</v>
      </c>
      <c r="HW286" s="5">
        <v>-0.38336950939702702</v>
      </c>
      <c r="HX286" s="5">
        <v>0.348435169705756</v>
      </c>
      <c r="HY286" s="5">
        <v>-0.36480977432733802</v>
      </c>
      <c r="HZ286" s="5">
        <v>0.15403739080412901</v>
      </c>
      <c r="IA286" s="5">
        <v>-0.17249909740902999</v>
      </c>
      <c r="IB286" s="5">
        <v>-0.233947974278645</v>
      </c>
      <c r="IC286" s="5">
        <v>0.271896803595016</v>
      </c>
      <c r="ID286" s="5">
        <v>0.38513095361493699</v>
      </c>
      <c r="IE286" s="5">
        <v>-0.39005845226533098</v>
      </c>
      <c r="IF286" s="5">
        <v>0.48191965882024002</v>
      </c>
      <c r="IG286" s="5">
        <v>-0.44594699025898599</v>
      </c>
      <c r="IH286" s="5">
        <v>0.78646330675225795</v>
      </c>
      <c r="II286" s="5">
        <v>-0.70053882654214605</v>
      </c>
      <c r="IJ286" s="5">
        <v>0.12681337813126201</v>
      </c>
      <c r="IK286" s="5">
        <v>-0.141030562954581</v>
      </c>
      <c r="IL286" s="5">
        <v>0.29091553784399699</v>
      </c>
      <c r="IM286" s="5">
        <v>-0.235582401313955</v>
      </c>
      <c r="IN286" s="5">
        <v>0.30331786788975301</v>
      </c>
      <c r="IO286" s="5">
        <v>-0.29879097905830299</v>
      </c>
      <c r="IP286" s="5">
        <v>0.50463047252462301</v>
      </c>
      <c r="IQ286" s="5">
        <v>-0.46671569582280698</v>
      </c>
      <c r="IR286" s="5">
        <v>3.5116458447875601E-2</v>
      </c>
      <c r="IS286" s="5">
        <v>6.9579266320778196E-2</v>
      </c>
      <c r="IT286" s="5">
        <v>0.39370809307745502</v>
      </c>
      <c r="IU286" s="5">
        <v>-0.38044230316784899</v>
      </c>
      <c r="IV286" s="5">
        <v>0.47335128685667899</v>
      </c>
      <c r="IW286" s="5">
        <v>-0.49170877368703497</v>
      </c>
      <c r="IX286" s="5">
        <v>0.44992615900682598</v>
      </c>
      <c r="IY286" s="5">
        <v>-0.44414651448914799</v>
      </c>
      <c r="IZ286" s="5">
        <v>0.13612820218907201</v>
      </c>
      <c r="JA286" s="5">
        <v>-0.11053177678323101</v>
      </c>
      <c r="JB286" s="5">
        <v>0.102333556309937</v>
      </c>
      <c r="JC286" s="5">
        <v>-0.123177209890048</v>
      </c>
      <c r="JD286" s="5">
        <v>0.148182824948727</v>
      </c>
      <c r="JE286" s="5">
        <v>-5.6043261782899298E-2</v>
      </c>
      <c r="JF286" s="5">
        <v>0.30136003743574702</v>
      </c>
      <c r="JG286" s="5">
        <v>-0.317025208714379</v>
      </c>
      <c r="JH286" s="5">
        <v>0.15925970772015499</v>
      </c>
      <c r="JI286" s="5">
        <v>-0.138051405819862</v>
      </c>
      <c r="JJ286" s="5">
        <v>0.40925411122146399</v>
      </c>
      <c r="JK286" s="5">
        <v>-0.33860676426297898</v>
      </c>
      <c r="JL286" s="5">
        <v>0.23138772096302301</v>
      </c>
      <c r="JM286" s="5">
        <v>-0.14837046753749</v>
      </c>
      <c r="JN286" s="5">
        <v>0.55428890866254799</v>
      </c>
      <c r="JO286" s="5">
        <v>-0.56911649687676902</v>
      </c>
      <c r="JP286" s="5">
        <v>0.40057791774358498</v>
      </c>
      <c r="JQ286" s="5">
        <v>-0.46452884241044401</v>
      </c>
      <c r="JR286" s="5">
        <v>0.18949774250875601</v>
      </c>
      <c r="JS286" s="5">
        <v>-0.14512741763499201</v>
      </c>
      <c r="JT286" s="5">
        <v>-5.53785686776678E-2</v>
      </c>
      <c r="JU286" s="5">
        <v>0.119868958164374</v>
      </c>
      <c r="JV286" s="5">
        <v>0.19640313605149701</v>
      </c>
      <c r="JW286" s="5">
        <v>-0.138443333809532</v>
      </c>
      <c r="JX286" s="5">
        <v>6.8169506394452198E-2</v>
      </c>
      <c r="JY286" s="5">
        <v>-5.0280722861516601E-2</v>
      </c>
      <c r="JZ286" s="5">
        <v>1</v>
      </c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</row>
    <row r="287" spans="1:389" x14ac:dyDescent="0.45">
      <c r="A287" s="4" t="str">
        <f ca="1">"PRI / beta2dist in "&amp;CELL("address",'damages-1990'!$K$144)</f>
        <v>PRI / beta2dist in '[BHM betas v3pd.xlsx]damages-1990'!$K$144</v>
      </c>
      <c r="B287" s="6">
        <v>1.01728172830719E-2</v>
      </c>
      <c r="C287" s="5">
        <v>0.11443616210728701</v>
      </c>
      <c r="D287" s="5">
        <v>-0.22258094331053399</v>
      </c>
      <c r="E287" s="5">
        <v>0.50274157583216195</v>
      </c>
      <c r="F287" s="5">
        <v>-5.6890641016017502E-3</v>
      </c>
      <c r="G287" s="5">
        <v>7.2555482536593593E-2</v>
      </c>
      <c r="H287" s="5">
        <v>-3.8416346755391101E-2</v>
      </c>
      <c r="I287" s="5">
        <v>-6.9787623600565604E-4</v>
      </c>
      <c r="J287" s="5">
        <v>-7.0305588347494799E-2</v>
      </c>
      <c r="K287" s="5">
        <v>0.28095720740950503</v>
      </c>
      <c r="L287" s="5">
        <v>0.12562491043589599</v>
      </c>
      <c r="M287" s="5">
        <v>-9.2760490261255393E-2</v>
      </c>
      <c r="N287" s="5">
        <v>-6.9332372916606003E-2</v>
      </c>
      <c r="O287" s="5">
        <v>8.5213290786522497E-2</v>
      </c>
      <c r="P287" s="5">
        <v>-0.66734021025914103</v>
      </c>
      <c r="Q287" s="5">
        <v>0.815806399828367</v>
      </c>
      <c r="R287" s="5">
        <v>-9.8926043612618503E-2</v>
      </c>
      <c r="S287" s="5">
        <v>0.41071035820440299</v>
      </c>
      <c r="T287" s="5">
        <v>-0.28784646118430701</v>
      </c>
      <c r="U287" s="5">
        <v>0.325866691392804</v>
      </c>
      <c r="V287" s="5">
        <v>4.8884017543724803E-2</v>
      </c>
      <c r="W287" s="5">
        <v>4.06340514697084E-3</v>
      </c>
      <c r="X287" s="5">
        <v>-0.27845388444540597</v>
      </c>
      <c r="Y287" s="5">
        <v>0.52978814138507602</v>
      </c>
      <c r="Z287" s="5">
        <v>-0.13964112965169601</v>
      </c>
      <c r="AA287" s="5">
        <v>0.179753350453631</v>
      </c>
      <c r="AB287" s="5">
        <v>-0.29100381785773999</v>
      </c>
      <c r="AC287" s="5">
        <v>0.58277866258154598</v>
      </c>
      <c r="AD287" s="5">
        <v>-0.35395364693696302</v>
      </c>
      <c r="AE287" s="5">
        <v>0.62382466300456696</v>
      </c>
      <c r="AF287" s="5">
        <v>-2.3051244479014899E-2</v>
      </c>
      <c r="AG287" s="5">
        <v>0.22685245426136799</v>
      </c>
      <c r="AH287" s="5">
        <v>-4.8258026188197398E-2</v>
      </c>
      <c r="AI287" s="5">
        <v>0.116968370871407</v>
      </c>
      <c r="AJ287" s="5">
        <v>-8.66887810982475E-2</v>
      </c>
      <c r="AK287" s="5">
        <v>0.26212637790196303</v>
      </c>
      <c r="AL287" s="5">
        <v>0.12896003345811299</v>
      </c>
      <c r="AM287" s="5">
        <v>-6.4483708571314594E-2</v>
      </c>
      <c r="AN287" s="5">
        <v>-0.19093888897435499</v>
      </c>
      <c r="AO287" s="5">
        <v>0.275050854690368</v>
      </c>
      <c r="AP287" s="5">
        <v>-0.13594687768511901</v>
      </c>
      <c r="AQ287" s="5">
        <v>0.15308663855355401</v>
      </c>
      <c r="AR287" s="5">
        <v>-3.63642925744041E-2</v>
      </c>
      <c r="AS287" s="5">
        <v>0.21583659383127399</v>
      </c>
      <c r="AT287" s="5">
        <v>0.27757610636107299</v>
      </c>
      <c r="AU287" s="5">
        <v>-0.26948996505638501</v>
      </c>
      <c r="AV287" s="5">
        <v>-8.6549679349972E-2</v>
      </c>
      <c r="AW287" s="5">
        <v>0.47886785778791202</v>
      </c>
      <c r="AX287" s="5">
        <v>-0.18943085306274501</v>
      </c>
      <c r="AY287" s="5">
        <v>0.586099070377333</v>
      </c>
      <c r="AZ287" s="5">
        <v>-0.53762058809767099</v>
      </c>
      <c r="BA287" s="5">
        <v>0.68780811686697596</v>
      </c>
      <c r="BB287" s="5">
        <v>-6.77754885230131E-2</v>
      </c>
      <c r="BC287" s="5">
        <v>0.34959282611598602</v>
      </c>
      <c r="BD287" s="5">
        <v>-4.0355041002385801E-2</v>
      </c>
      <c r="BE287" s="5">
        <v>0.16802571386121001</v>
      </c>
      <c r="BF287" s="5">
        <v>-0.25313350272509699</v>
      </c>
      <c r="BG287" s="5">
        <v>0.45666551546440098</v>
      </c>
      <c r="BH287" s="5">
        <v>-0.26539115538226798</v>
      </c>
      <c r="BI287" s="5">
        <v>0.59466255136684998</v>
      </c>
      <c r="BJ287" s="5">
        <v>-7.5383451932130599E-2</v>
      </c>
      <c r="BK287" s="5">
        <v>-0.119766554828873</v>
      </c>
      <c r="BL287" s="5">
        <v>-0.28986764082797201</v>
      </c>
      <c r="BM287" s="5">
        <v>0.31047162540971102</v>
      </c>
      <c r="BN287" s="5">
        <v>-0.13634284103913999</v>
      </c>
      <c r="BO287" s="5">
        <v>0.15527000437017099</v>
      </c>
      <c r="BP287" s="5">
        <v>2.5399206029136201E-2</v>
      </c>
      <c r="BQ287" s="5">
        <v>-0.14648594144209701</v>
      </c>
      <c r="BR287" s="5">
        <v>-0.41975173577885699</v>
      </c>
      <c r="BS287" s="5">
        <v>0.68435176398878494</v>
      </c>
      <c r="BT287" s="5">
        <v>-0.26493949732493899</v>
      </c>
      <c r="BU287" s="5">
        <v>0.632758920240162</v>
      </c>
      <c r="BV287" s="5">
        <v>-0.21977836384271601</v>
      </c>
      <c r="BW287" s="5">
        <v>0.53181513387350099</v>
      </c>
      <c r="BX287" s="5">
        <v>-0.13140946935220199</v>
      </c>
      <c r="BY287" s="5">
        <v>0.43995426699053702</v>
      </c>
      <c r="BZ287" s="5">
        <v>-0.18974821573234499</v>
      </c>
      <c r="CA287" s="5">
        <v>0.52085749716182195</v>
      </c>
      <c r="CB287" s="5">
        <v>-0.14013390232547701</v>
      </c>
      <c r="CC287" s="5">
        <v>0.43650175089519699</v>
      </c>
      <c r="CD287" s="5">
        <v>-0.213623542664309</v>
      </c>
      <c r="CE287" s="5">
        <v>0.39767733422907597</v>
      </c>
      <c r="CF287" s="5">
        <v>-0.38271864444260101</v>
      </c>
      <c r="CG287" s="5">
        <v>0.56811433123177901</v>
      </c>
      <c r="CH287" s="5">
        <v>0.18492778175380001</v>
      </c>
      <c r="CI287" s="5">
        <v>-0.10605548173007601</v>
      </c>
      <c r="CJ287" s="5">
        <v>8.1527511497824903E-2</v>
      </c>
      <c r="CK287" s="5">
        <v>-5.56707258017166E-2</v>
      </c>
      <c r="CL287" s="5">
        <v>-0.213244683045276</v>
      </c>
      <c r="CM287" s="5">
        <v>0.246171389032702</v>
      </c>
      <c r="CN287" s="5">
        <v>-0.167144604845718</v>
      </c>
      <c r="CO287" s="5">
        <v>0.19430650947616299</v>
      </c>
      <c r="CP287" s="5">
        <v>-0.31637256647200901</v>
      </c>
      <c r="CQ287" s="5">
        <v>0.48892635676069202</v>
      </c>
      <c r="CR287" s="5">
        <v>-0.66452182444670405</v>
      </c>
      <c r="CS287" s="5">
        <v>0.817080236552849</v>
      </c>
      <c r="CT287" s="5">
        <v>-0.14861314126917599</v>
      </c>
      <c r="CU287" s="5">
        <v>0.15383597966964199</v>
      </c>
      <c r="CV287" s="5">
        <v>-0.58177934756368999</v>
      </c>
      <c r="CW287" s="5">
        <v>0.74115448979736198</v>
      </c>
      <c r="CX287" s="5">
        <v>-0.11280672016504199</v>
      </c>
      <c r="CY287" s="5">
        <v>0.32360026081947202</v>
      </c>
      <c r="CZ287" s="5">
        <v>-0.223104928836139</v>
      </c>
      <c r="DA287" s="5">
        <v>0.52004805556531497</v>
      </c>
      <c r="DB287" s="5">
        <v>-2.1086568562535199E-2</v>
      </c>
      <c r="DC287" s="5">
        <v>0.14738753224046999</v>
      </c>
      <c r="DD287" s="5">
        <v>-0.373171319646662</v>
      </c>
      <c r="DE287" s="5">
        <v>0.56870061026044005</v>
      </c>
      <c r="DF287" s="5">
        <v>-0.20221918053666299</v>
      </c>
      <c r="DG287" s="5">
        <v>0.38700574540734001</v>
      </c>
      <c r="DH287" s="5">
        <v>-8.6179517590460802E-2</v>
      </c>
      <c r="DI287" s="5">
        <v>0.25126528951726002</v>
      </c>
      <c r="DJ287" s="5">
        <v>-0.14440495502636599</v>
      </c>
      <c r="DK287" s="5">
        <v>0.148784237935943</v>
      </c>
      <c r="DL287" s="5">
        <v>-0.21827916549537599</v>
      </c>
      <c r="DM287" s="5">
        <v>0.48994536699132402</v>
      </c>
      <c r="DN287" s="5">
        <v>-0.14334505761451399</v>
      </c>
      <c r="DO287" s="5">
        <v>0.11258614637273701</v>
      </c>
      <c r="DP287" s="5">
        <v>0.40813703861484402</v>
      </c>
      <c r="DQ287" s="5">
        <v>-0.36770037901076102</v>
      </c>
      <c r="DR287" s="5">
        <v>-9.8273194589154594E-2</v>
      </c>
      <c r="DS287" s="5">
        <v>0.18936292369358801</v>
      </c>
      <c r="DT287" s="5">
        <v>-5.6301501370471699E-2</v>
      </c>
      <c r="DU287" s="5">
        <v>0.15131425228022499</v>
      </c>
      <c r="DV287" s="5">
        <v>-0.17653654650293901</v>
      </c>
      <c r="DW287" s="5">
        <v>0.42593257276533297</v>
      </c>
      <c r="DX287" s="5">
        <v>-0.120395544960753</v>
      </c>
      <c r="DY287" s="5">
        <v>0.143863709763111</v>
      </c>
      <c r="DZ287" s="5">
        <v>-3.5112380461351102E-2</v>
      </c>
      <c r="EA287" s="5">
        <v>7.2100089344992999E-2</v>
      </c>
      <c r="EB287" s="5">
        <v>-0.41050904215907902</v>
      </c>
      <c r="EC287" s="5">
        <v>0.67511678747554704</v>
      </c>
      <c r="ED287" s="5">
        <v>-0.31571596921447198</v>
      </c>
      <c r="EE287" s="5">
        <v>0.60819151319368103</v>
      </c>
      <c r="EF287" s="5">
        <v>-0.69580557324046299</v>
      </c>
      <c r="EG287" s="5">
        <v>0.82798419136289303</v>
      </c>
      <c r="EH287" s="5">
        <v>-0.30665045729176599</v>
      </c>
      <c r="EI287" s="5">
        <v>0.58146967615968004</v>
      </c>
      <c r="EJ287" s="5">
        <v>-0.31116142823800202</v>
      </c>
      <c r="EK287" s="5">
        <v>0.60478285846545998</v>
      </c>
      <c r="EL287" s="5">
        <v>-0.24603256569772</v>
      </c>
      <c r="EM287" s="5">
        <v>0.54615974924507704</v>
      </c>
      <c r="EN287" s="5">
        <v>0.217392080748258</v>
      </c>
      <c r="EO287" s="5">
        <v>-0.21352646998845901</v>
      </c>
      <c r="EP287" s="5">
        <v>-0.55646717535080803</v>
      </c>
      <c r="EQ287" s="5">
        <v>0.72318697691321299</v>
      </c>
      <c r="ER287" s="5">
        <v>-1.9487742504058402E-2</v>
      </c>
      <c r="ES287" s="5">
        <v>0.26409523239684901</v>
      </c>
      <c r="ET287" s="5">
        <v>-0.23154959854717999</v>
      </c>
      <c r="EU287" s="5">
        <v>0.51488419286313603</v>
      </c>
      <c r="EV287" s="5">
        <v>-0.26660600059437001</v>
      </c>
      <c r="EW287" s="5">
        <v>0.56218543164620904</v>
      </c>
      <c r="EX287" s="5">
        <v>8.2731639608395496E-2</v>
      </c>
      <c r="EY287" s="5">
        <v>0.13322005784492999</v>
      </c>
      <c r="EZ287" s="5">
        <v>-0.10856542969050099</v>
      </c>
      <c r="FA287" s="5">
        <v>0.34480481205661001</v>
      </c>
      <c r="FB287" s="5">
        <v>-8.9979584842449098E-2</v>
      </c>
      <c r="FC287" s="5">
        <v>0.178859738217965</v>
      </c>
      <c r="FD287" s="5">
        <v>-0.41368738122776699</v>
      </c>
      <c r="FE287" s="5">
        <v>0.61715963458045597</v>
      </c>
      <c r="FF287" s="5">
        <v>-9.4994935114641105E-2</v>
      </c>
      <c r="FG287" s="5">
        <v>0.15871585950228601</v>
      </c>
      <c r="FH287" s="5">
        <v>0.12788299872951001</v>
      </c>
      <c r="FI287" s="5">
        <v>5.3064711484161198E-2</v>
      </c>
      <c r="FJ287" s="5">
        <v>-4.0067876546557003E-2</v>
      </c>
      <c r="FK287" s="5">
        <v>0.26048080286992498</v>
      </c>
      <c r="FL287" s="5">
        <v>3.8143084841038198E-2</v>
      </c>
      <c r="FM287" s="5">
        <v>-3.4769398474257002E-2</v>
      </c>
      <c r="FN287" s="5">
        <v>3.8304923796764798E-2</v>
      </c>
      <c r="FO287" s="5">
        <v>6.32918571295496E-2</v>
      </c>
      <c r="FP287" s="5">
        <v>-7.8537389183905695E-2</v>
      </c>
      <c r="FQ287" s="5">
        <v>0.17883266266522399</v>
      </c>
      <c r="FR287" s="5">
        <v>0.109193516516622</v>
      </c>
      <c r="FS287" s="5">
        <v>-0.141029639431275</v>
      </c>
      <c r="FT287" s="5">
        <v>-2.0992060121241799E-3</v>
      </c>
      <c r="FU287" s="5">
        <v>8.7041421295988894E-2</v>
      </c>
      <c r="FV287" s="5">
        <v>7.9732983592111992E-3</v>
      </c>
      <c r="FW287" s="5">
        <v>8.2893752134512097E-2</v>
      </c>
      <c r="FX287" s="5">
        <v>-0.35250188667726101</v>
      </c>
      <c r="FY287" s="5">
        <v>0.56339453305898202</v>
      </c>
      <c r="FZ287" s="5">
        <v>-2.73263524336038E-2</v>
      </c>
      <c r="GA287" s="5">
        <v>0.12888259223388601</v>
      </c>
      <c r="GB287" s="5">
        <v>-2.1678264918244299E-2</v>
      </c>
      <c r="GC287" s="5">
        <v>7.6993725616341199E-2</v>
      </c>
      <c r="GD287" s="5">
        <v>-2.62590442095351E-2</v>
      </c>
      <c r="GE287" s="5">
        <v>2.0246005162382501E-2</v>
      </c>
      <c r="GF287" s="5">
        <v>3.41914128610286E-2</v>
      </c>
      <c r="GG287" s="5">
        <v>0.27675102426987402</v>
      </c>
      <c r="GH287" s="5">
        <v>6.4547686702733795E-2</v>
      </c>
      <c r="GI287" s="5">
        <v>-0.17658016964704701</v>
      </c>
      <c r="GJ287" s="5">
        <v>-5.8672402994430099E-2</v>
      </c>
      <c r="GK287" s="5">
        <v>0.30293779586665198</v>
      </c>
      <c r="GL287" s="5">
        <v>-0.71802578781607396</v>
      </c>
      <c r="GM287" s="5">
        <v>0.82601249016284295</v>
      </c>
      <c r="GN287" s="5">
        <v>-2.8702713157176901E-2</v>
      </c>
      <c r="GO287" s="5">
        <v>0.114963227240199</v>
      </c>
      <c r="GP287" s="5">
        <v>-0.13477426512350299</v>
      </c>
      <c r="GQ287" s="5">
        <v>0.28407363683959302</v>
      </c>
      <c r="GR287" s="5">
        <v>-0.117223493758304</v>
      </c>
      <c r="GS287" s="5">
        <v>0.38750369661710699</v>
      </c>
      <c r="GT287" s="5">
        <v>3.42374021863018E-2</v>
      </c>
      <c r="GU287" s="5">
        <v>-4.0568961912900298E-3</v>
      </c>
      <c r="GV287" s="5">
        <v>-0.29638646781751299</v>
      </c>
      <c r="GW287" s="5">
        <v>0.63669106345146798</v>
      </c>
      <c r="GX287" s="5">
        <v>2.4850129294893102E-2</v>
      </c>
      <c r="GY287" s="5">
        <v>0.105632787716389</v>
      </c>
      <c r="GZ287" s="5">
        <v>-0.28870426668542598</v>
      </c>
      <c r="HA287" s="5">
        <v>0.304826895475032</v>
      </c>
      <c r="HB287" s="5">
        <v>-0.13977341128100601</v>
      </c>
      <c r="HC287" s="5">
        <v>0.46256388167168</v>
      </c>
      <c r="HD287" s="5">
        <v>-5.7765099338838E-2</v>
      </c>
      <c r="HE287" s="5">
        <v>0.239438692147113</v>
      </c>
      <c r="HF287" s="5">
        <v>-0.15885066515635099</v>
      </c>
      <c r="HG287" s="5">
        <v>0.166928974924168</v>
      </c>
      <c r="HH287" s="5">
        <v>-0.14962404410527899</v>
      </c>
      <c r="HI287" s="5">
        <v>0.18005275129024001</v>
      </c>
      <c r="HJ287" s="5">
        <v>-0.14016714552613899</v>
      </c>
      <c r="HK287" s="5">
        <v>0.142840144867765</v>
      </c>
      <c r="HL287" s="5">
        <v>-0.19021121158410501</v>
      </c>
      <c r="HM287" s="5">
        <v>0.42087423159923898</v>
      </c>
      <c r="HN287" s="5">
        <v>-4.5508389642572603E-2</v>
      </c>
      <c r="HO287" s="5">
        <v>0.112041473356327</v>
      </c>
      <c r="HP287" s="5">
        <v>9.3181795713710602E-2</v>
      </c>
      <c r="HQ287" s="5">
        <v>0.18270605476901999</v>
      </c>
      <c r="HR287" s="5">
        <v>1.05010863102142E-2</v>
      </c>
      <c r="HS287" s="5">
        <v>0.27492897714267001</v>
      </c>
      <c r="HT287" s="5">
        <v>-0.112247033493767</v>
      </c>
      <c r="HU287" s="5">
        <v>0.19995683702972</v>
      </c>
      <c r="HV287" s="5">
        <v>-0.21963823850459999</v>
      </c>
      <c r="HW287" s="5">
        <v>0.46439102421890599</v>
      </c>
      <c r="HX287" s="5">
        <v>-0.102421867067094</v>
      </c>
      <c r="HY287" s="5">
        <v>0.41012241543408401</v>
      </c>
      <c r="HZ287" s="5">
        <v>-0.218687112928802</v>
      </c>
      <c r="IA287" s="5">
        <v>0.30019209615091103</v>
      </c>
      <c r="IB287" s="5">
        <v>0.136445407767192</v>
      </c>
      <c r="IC287" s="5">
        <v>-0.23191558403524001</v>
      </c>
      <c r="ID287" s="5">
        <v>-0.13794580553411301</v>
      </c>
      <c r="IE287" s="5">
        <v>0.45279954775992098</v>
      </c>
      <c r="IF287" s="5">
        <v>-0.246274905382521</v>
      </c>
      <c r="IG287" s="5">
        <v>0.49052512848429802</v>
      </c>
      <c r="IH287" s="5">
        <v>-0.62807883933478403</v>
      </c>
      <c r="II287" s="5">
        <v>0.78862127470772103</v>
      </c>
      <c r="IJ287" s="5">
        <v>1.76408757422651E-2</v>
      </c>
      <c r="IK287" s="5">
        <v>0.106351286284509</v>
      </c>
      <c r="IL287" s="5">
        <v>-2.01050826120443E-2</v>
      </c>
      <c r="IM287" s="5">
        <v>0.26053751295054101</v>
      </c>
      <c r="IN287" s="5">
        <v>-4.6325529382629203E-2</v>
      </c>
      <c r="IO287" s="5">
        <v>0.330032558646629</v>
      </c>
      <c r="IP287" s="5">
        <v>-0.33502699528003399</v>
      </c>
      <c r="IQ287" s="5">
        <v>0.59121206167659701</v>
      </c>
      <c r="IR287" s="5">
        <v>0.17393884417727001</v>
      </c>
      <c r="IS287" s="5">
        <v>-0.104929960493264</v>
      </c>
      <c r="IT287" s="5">
        <v>-0.19397312385036</v>
      </c>
      <c r="IU287" s="5">
        <v>0.44907414154753</v>
      </c>
      <c r="IV287" s="5">
        <v>-0.32513102242875602</v>
      </c>
      <c r="IW287" s="5">
        <v>0.58961036124110899</v>
      </c>
      <c r="IX287" s="5">
        <v>-0.29218168430080799</v>
      </c>
      <c r="IY287" s="5">
        <v>0.53485779228186203</v>
      </c>
      <c r="IZ287" s="5">
        <v>-0.154079223368083</v>
      </c>
      <c r="JA287" s="5">
        <v>0.184115279410618</v>
      </c>
      <c r="JB287" s="5">
        <v>-0.27560184156616901</v>
      </c>
      <c r="JC287" s="5">
        <v>0.27016773691908402</v>
      </c>
      <c r="JD287" s="5">
        <v>-9.1204574522492296E-3</v>
      </c>
      <c r="JE287" s="5">
        <v>0.20287578891515301</v>
      </c>
      <c r="JF287" s="5">
        <v>-0.220681360012417</v>
      </c>
      <c r="JG287" s="5">
        <v>0.392266227486889</v>
      </c>
      <c r="JH287" s="5">
        <v>-0.124094168995994</v>
      </c>
      <c r="JI287" s="5">
        <v>0.185647413282886</v>
      </c>
      <c r="JJ287" s="5">
        <v>-0.19771041494275499</v>
      </c>
      <c r="JK287" s="5">
        <v>0.453335850269312</v>
      </c>
      <c r="JL287" s="5">
        <v>-2.4058529276249699E-2</v>
      </c>
      <c r="JM287" s="5">
        <v>0.23160929588140999</v>
      </c>
      <c r="JN287" s="5">
        <v>-0.34932911326190302</v>
      </c>
      <c r="JO287" s="5">
        <v>0.60053066670433497</v>
      </c>
      <c r="JP287" s="5">
        <v>-0.14117028597075501</v>
      </c>
      <c r="JQ287" s="5">
        <v>0.50941208528059401</v>
      </c>
      <c r="JR287" s="5">
        <v>5.7837062531714799E-2</v>
      </c>
      <c r="JS287" s="5">
        <v>0.19626904724205099</v>
      </c>
      <c r="JT287" s="5">
        <v>0.17186546267648301</v>
      </c>
      <c r="JU287" s="5">
        <v>-5.1839364255029899E-2</v>
      </c>
      <c r="JV287" s="5">
        <v>9.08791998494652E-2</v>
      </c>
      <c r="JW287" s="5">
        <v>0.113139396331511</v>
      </c>
      <c r="JX287" s="5">
        <v>-0.165124058361304</v>
      </c>
      <c r="JY287" s="5">
        <v>0.18743327914688701</v>
      </c>
      <c r="JZ287" s="5">
        <v>-0.86907265339821904</v>
      </c>
      <c r="KA287" s="5">
        <v>1</v>
      </c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</row>
    <row r="288" spans="1:389" x14ac:dyDescent="0.45">
      <c r="A288" s="4" t="str">
        <f ca="1">"PRK / beta1dist in "&amp;CELL("address",'damages-1990'!$J$145)</f>
        <v>PRK / beta1dist in '[BHM betas v3pd.xlsx]damages-1990'!$J$145</v>
      </c>
      <c r="B288" s="6">
        <v>0.30899685393939202</v>
      </c>
      <c r="C288" s="5">
        <v>-0.28549154737660198</v>
      </c>
      <c r="D288" s="5">
        <v>8.2912764859362401E-2</v>
      </c>
      <c r="E288" s="5">
        <v>-0.27879735896774799</v>
      </c>
      <c r="F288" s="5">
        <v>0.48472274881427502</v>
      </c>
      <c r="G288" s="5">
        <v>-0.45466191592427702</v>
      </c>
      <c r="H288" s="5">
        <v>0.69997662750705203</v>
      </c>
      <c r="I288" s="5">
        <v>-0.50624023119774197</v>
      </c>
      <c r="J288" s="5">
        <v>-0.157636611818955</v>
      </c>
      <c r="K288" s="5">
        <v>-8.9752403199015104E-2</v>
      </c>
      <c r="L288" s="5">
        <v>0.173953770963202</v>
      </c>
      <c r="M288" s="5">
        <v>-0.163355642783161</v>
      </c>
      <c r="N288" s="5">
        <v>0.461585204978814</v>
      </c>
      <c r="O288" s="5">
        <v>-0.18495979045818201</v>
      </c>
      <c r="P288" s="5">
        <v>-5.0321856356823201E-2</v>
      </c>
      <c r="Q288" s="5">
        <v>-6.9486655062944894E-2</v>
      </c>
      <c r="R288" s="5">
        <v>-6.4377558443397598E-2</v>
      </c>
      <c r="S288" s="5">
        <v>-0.141806100209002</v>
      </c>
      <c r="T288" s="5">
        <v>0.63643391671386096</v>
      </c>
      <c r="U288" s="5">
        <v>-0.47447191276276102</v>
      </c>
      <c r="V288" s="5">
        <v>0.351958068268797</v>
      </c>
      <c r="W288" s="5">
        <v>-0.34114189271698198</v>
      </c>
      <c r="X288" s="5">
        <v>0.108445560379929</v>
      </c>
      <c r="Y288" s="5">
        <v>-0.26974132402420797</v>
      </c>
      <c r="Z288" s="5">
        <v>0.71654658586335995</v>
      </c>
      <c r="AA288" s="5">
        <v>-0.63206588448630197</v>
      </c>
      <c r="AB288" s="5">
        <v>6.11358736336775E-2</v>
      </c>
      <c r="AC288" s="5">
        <v>-0.16128126548838301</v>
      </c>
      <c r="AD288" s="5">
        <v>9.4901021259967105E-2</v>
      </c>
      <c r="AE288" s="5">
        <v>-0.17636556509003301</v>
      </c>
      <c r="AF288" s="5">
        <v>-0.29730368246221001</v>
      </c>
      <c r="AG288" s="5">
        <v>0.104375438630107</v>
      </c>
      <c r="AH288" s="5">
        <v>0.55650122547783298</v>
      </c>
      <c r="AI288" s="5">
        <v>-0.493963919343056</v>
      </c>
      <c r="AJ288" s="5">
        <v>-0.22458785643159099</v>
      </c>
      <c r="AK288" s="5">
        <v>-6.5465006796078404E-2</v>
      </c>
      <c r="AL288" s="5">
        <v>-0.18793364853199601</v>
      </c>
      <c r="AM288" s="5">
        <v>6.0010777985607902E-2</v>
      </c>
      <c r="AN288" s="5">
        <v>0.61190043396298899</v>
      </c>
      <c r="AO288" s="5">
        <v>-0.47346632121814403</v>
      </c>
      <c r="AP288" s="5">
        <v>0.74573908052243998</v>
      </c>
      <c r="AQ288" s="5">
        <v>-0.60223714835031705</v>
      </c>
      <c r="AR288" s="5">
        <v>-0.21432238210190699</v>
      </c>
      <c r="AS288" s="5">
        <v>3.7749423201397701E-2</v>
      </c>
      <c r="AT288" s="5">
        <v>-0.29316731094986298</v>
      </c>
      <c r="AU288" s="5">
        <v>0.19463593163497001</v>
      </c>
      <c r="AV288" s="5">
        <v>-0.21215799468141799</v>
      </c>
      <c r="AW288" s="5">
        <v>9.3270908010592308E-3</v>
      </c>
      <c r="AX288" s="5">
        <v>-0.23429704495076301</v>
      </c>
      <c r="AY288" s="5">
        <v>-2.8613227384843301E-2</v>
      </c>
      <c r="AZ288" s="5">
        <v>-0.102652551548597</v>
      </c>
      <c r="BA288" s="5">
        <v>1.02824372020107E-2</v>
      </c>
      <c r="BB288" s="5">
        <v>-3.4679611477845797E-2</v>
      </c>
      <c r="BC288" s="5">
        <v>-0.19105084416817</v>
      </c>
      <c r="BD288" s="5">
        <v>0.53460826509887704</v>
      </c>
      <c r="BE288" s="5">
        <v>-0.490989155480899</v>
      </c>
      <c r="BF288" s="5">
        <v>-3.7510701076493097E-2</v>
      </c>
      <c r="BG288" s="5">
        <v>-0.15815349659348399</v>
      </c>
      <c r="BH288" s="5">
        <v>-3.52453638942282E-2</v>
      </c>
      <c r="BI288" s="5">
        <v>-0.117845754003781</v>
      </c>
      <c r="BJ288" s="5">
        <v>0.52123648295555702</v>
      </c>
      <c r="BK288" s="5">
        <v>-0.152478194246782</v>
      </c>
      <c r="BL288" s="5">
        <v>0.66441916552513702</v>
      </c>
      <c r="BM288" s="5">
        <v>-0.48570423050163902</v>
      </c>
      <c r="BN288" s="5">
        <v>0.41150964566923198</v>
      </c>
      <c r="BO288" s="5">
        <v>-0.13152247376016599</v>
      </c>
      <c r="BP288" s="5">
        <v>0.74287091759343105</v>
      </c>
      <c r="BQ288" s="5">
        <v>-0.59821085177965205</v>
      </c>
      <c r="BR288" s="5">
        <v>0.148242749596525</v>
      </c>
      <c r="BS288" s="5">
        <v>-0.21224730363118</v>
      </c>
      <c r="BT288" s="5">
        <v>-6.6261731248743502E-2</v>
      </c>
      <c r="BU288" s="5">
        <v>-0.11726200850399</v>
      </c>
      <c r="BV288" s="5">
        <v>5.88366863793763E-2</v>
      </c>
      <c r="BW288" s="5">
        <v>-0.25296264266718199</v>
      </c>
      <c r="BX288" s="5">
        <v>0.10243491871691</v>
      </c>
      <c r="BY288" s="5">
        <v>-0.26450501451075797</v>
      </c>
      <c r="BZ288" s="5">
        <v>-3.3505781247815399E-2</v>
      </c>
      <c r="CA288" s="5">
        <v>-0.16583264175675699</v>
      </c>
      <c r="CB288" s="5">
        <v>-7.36619549855043E-3</v>
      </c>
      <c r="CC288" s="5">
        <v>-0.13072891976909801</v>
      </c>
      <c r="CD288" s="5">
        <v>-5.3802541321243999E-2</v>
      </c>
      <c r="CE288" s="5">
        <v>-1.17103038535059E-2</v>
      </c>
      <c r="CF288" s="5">
        <v>-0.138311002106598</v>
      </c>
      <c r="CG288" s="5">
        <v>1.14744709087068E-2</v>
      </c>
      <c r="CH288" s="5">
        <v>-0.17030783652927101</v>
      </c>
      <c r="CI288" s="5">
        <v>6.2892419888268394E-2</v>
      </c>
      <c r="CJ288" s="5">
        <v>-0.15301489545795</v>
      </c>
      <c r="CK288" s="5">
        <v>8.1070941483075802E-3</v>
      </c>
      <c r="CL288" s="5">
        <v>0.66689118817512005</v>
      </c>
      <c r="CM288" s="5">
        <v>-0.53141163395979796</v>
      </c>
      <c r="CN288" s="5">
        <v>0.743356469065801</v>
      </c>
      <c r="CO288" s="5">
        <v>-0.64087820391718398</v>
      </c>
      <c r="CP288" s="5">
        <v>-1.6905695289489001E-2</v>
      </c>
      <c r="CQ288" s="5">
        <v>-5.6940185979408198E-2</v>
      </c>
      <c r="CR288" s="5">
        <v>-5.3401225452909998E-2</v>
      </c>
      <c r="CS288" s="5">
        <v>-2.4023362993528499E-2</v>
      </c>
      <c r="CT288" s="5">
        <v>0.74540769061998902</v>
      </c>
      <c r="CU288" s="5">
        <v>-0.62313411917950501</v>
      </c>
      <c r="CV288" s="5">
        <v>0.117182402900469</v>
      </c>
      <c r="CW288" s="5">
        <v>-0.238758955894949</v>
      </c>
      <c r="CX288" s="5">
        <v>-0.10571538580164699</v>
      </c>
      <c r="CY288" s="5">
        <v>-0.118062358760937</v>
      </c>
      <c r="CZ288" s="5">
        <v>4.0926197723184801E-2</v>
      </c>
      <c r="DA288" s="5">
        <v>-0.227852752331964</v>
      </c>
      <c r="DB288" s="5">
        <v>-0.16629998990478001</v>
      </c>
      <c r="DC288" s="5">
        <v>-0.12434531797274501</v>
      </c>
      <c r="DD288" s="5">
        <v>-7.5793173499265698E-3</v>
      </c>
      <c r="DE288" s="5">
        <v>-9.9317080268798805E-2</v>
      </c>
      <c r="DF288" s="5">
        <v>-0.28421845227452802</v>
      </c>
      <c r="DG288" s="5">
        <v>0.14667895253653601</v>
      </c>
      <c r="DH288" s="5">
        <v>0.30355503214486601</v>
      </c>
      <c r="DI288" s="5">
        <v>-0.33208060298623898</v>
      </c>
      <c r="DJ288" s="5">
        <v>0.72077516950249099</v>
      </c>
      <c r="DK288" s="5">
        <v>-0.57263971596859597</v>
      </c>
      <c r="DL288" s="5">
        <v>8.6570435445752995E-3</v>
      </c>
      <c r="DM288" s="5">
        <v>-0.123403880864632</v>
      </c>
      <c r="DN288" s="5">
        <v>0.69856273621449005</v>
      </c>
      <c r="DO288" s="5">
        <v>-0.50349704610465995</v>
      </c>
      <c r="DP288" s="5">
        <v>-4.73700716664998E-2</v>
      </c>
      <c r="DQ288" s="5">
        <v>-4.8211007917426697E-2</v>
      </c>
      <c r="DR288" s="5">
        <v>0.63792579823170703</v>
      </c>
      <c r="DS288" s="5">
        <v>-0.60159350785084997</v>
      </c>
      <c r="DT288" s="5">
        <v>-0.13211064280998699</v>
      </c>
      <c r="DU288" s="5">
        <v>5.0435296355496199E-2</v>
      </c>
      <c r="DV288" s="5">
        <v>0.229900091239164</v>
      </c>
      <c r="DW288" s="5">
        <v>-0.36657753550626698</v>
      </c>
      <c r="DX288" s="5">
        <v>0.71655817075252504</v>
      </c>
      <c r="DY288" s="5">
        <v>-0.54735707237354703</v>
      </c>
      <c r="DZ288" s="5">
        <v>0.54471281101949698</v>
      </c>
      <c r="EA288" s="5">
        <v>-0.31696423557997699</v>
      </c>
      <c r="EB288" s="5">
        <v>4.2593898686527097E-2</v>
      </c>
      <c r="EC288" s="5">
        <v>-0.16523282619721799</v>
      </c>
      <c r="ED288" s="5">
        <v>9.1213082132291803E-2</v>
      </c>
      <c r="EE288" s="5">
        <v>-0.19289494987004399</v>
      </c>
      <c r="EF288" s="5">
        <v>-3.6683246665878098E-2</v>
      </c>
      <c r="EG288" s="5">
        <v>-5.23021776513252E-2</v>
      </c>
      <c r="EH288" s="5">
        <v>-7.5941512536509603E-2</v>
      </c>
      <c r="EI288" s="5">
        <v>-8.4004164296660397E-2</v>
      </c>
      <c r="EJ288" s="5">
        <v>-9.6781902300773492E-3</v>
      </c>
      <c r="EK288" s="5">
        <v>-0.145039851160181</v>
      </c>
      <c r="EL288" s="5">
        <v>-0.13602715298019</v>
      </c>
      <c r="EM288" s="5">
        <v>1.0596316178717801E-2</v>
      </c>
      <c r="EN288" s="5">
        <v>0.14135948029742701</v>
      </c>
      <c r="EO288" s="5">
        <v>-0.159519174118428</v>
      </c>
      <c r="EP288" s="5">
        <v>-6.3154784685682794E-2</v>
      </c>
      <c r="EQ288" s="5">
        <v>-5.2969609810007999E-2</v>
      </c>
      <c r="ER288" s="5">
        <v>-0.13364493608924699</v>
      </c>
      <c r="ES288" s="5">
        <v>-5.5916986286732598E-2</v>
      </c>
      <c r="ET288" s="5">
        <v>-0.20384989934296299</v>
      </c>
      <c r="EU288" s="5">
        <v>-2.5331748763622298E-2</v>
      </c>
      <c r="EV288" s="5">
        <v>-0.272967669708717</v>
      </c>
      <c r="EW288" s="5">
        <v>-3.6691061642755199E-3</v>
      </c>
      <c r="EX288" s="5">
        <v>-0.26584010579349898</v>
      </c>
      <c r="EY288" s="5">
        <v>3.66278833074003E-2</v>
      </c>
      <c r="EZ288" s="5">
        <v>-0.12173091581890701</v>
      </c>
      <c r="FA288" s="5">
        <v>-7.8451699166608796E-2</v>
      </c>
      <c r="FB288" s="5">
        <v>0.52396462024189705</v>
      </c>
      <c r="FC288" s="5">
        <v>-0.45867919751342401</v>
      </c>
      <c r="FD288" s="5">
        <v>5.6139655492738902E-2</v>
      </c>
      <c r="FE288" s="5">
        <v>-0.189447698942416</v>
      </c>
      <c r="FF288" s="5">
        <v>0.58039210250850604</v>
      </c>
      <c r="FG288" s="5">
        <v>-0.49533991875521299</v>
      </c>
      <c r="FH288" s="5">
        <v>-0.26274458451317001</v>
      </c>
      <c r="FI288" s="5">
        <v>0.20807788617409101</v>
      </c>
      <c r="FJ288" s="5">
        <v>9.7205214004707895E-3</v>
      </c>
      <c r="FK288" s="5">
        <v>-0.22480035097181</v>
      </c>
      <c r="FL288" s="5">
        <v>0.535506973442886</v>
      </c>
      <c r="FM288" s="5">
        <v>-0.29012312262199003</v>
      </c>
      <c r="FN288" s="5">
        <v>0.12162550262793199</v>
      </c>
      <c r="FO288" s="5">
        <v>-0.21852677654518299</v>
      </c>
      <c r="FP288" s="5">
        <v>-0.175053896460061</v>
      </c>
      <c r="FQ288" s="5">
        <v>-1.8586959689012601E-2</v>
      </c>
      <c r="FR288" s="5">
        <v>0.14592654632424501</v>
      </c>
      <c r="FS288" s="5">
        <v>0.21159605886334701</v>
      </c>
      <c r="FT288" s="5">
        <v>-0.122302258411674</v>
      </c>
      <c r="FU288" s="5">
        <v>-0.108266153532877</v>
      </c>
      <c r="FV288" s="5">
        <v>0.42198675087528198</v>
      </c>
      <c r="FW288" s="5">
        <v>-0.41919760495095298</v>
      </c>
      <c r="FX288" s="5">
        <v>-9.9559467737193402E-2</v>
      </c>
      <c r="FY288" s="5">
        <v>-3.4690157007480599E-2</v>
      </c>
      <c r="FZ288" s="5">
        <v>-6.5494642763515604E-2</v>
      </c>
      <c r="GA288" s="5">
        <v>-0.16039414592001699</v>
      </c>
      <c r="GB288" s="5">
        <v>0.65118032851735297</v>
      </c>
      <c r="GC288" s="5">
        <v>-0.66069935611500796</v>
      </c>
      <c r="GD288" s="5">
        <v>0.63815574322246604</v>
      </c>
      <c r="GE288" s="5">
        <v>-0.47173065976475498</v>
      </c>
      <c r="GF288" s="5">
        <v>-9.9153936930735903E-2</v>
      </c>
      <c r="GG288" s="5">
        <v>-8.6025683787731899E-2</v>
      </c>
      <c r="GH288" s="5">
        <v>0.29151404690178301</v>
      </c>
      <c r="GI288" s="5">
        <v>6.9084523745281498E-2</v>
      </c>
      <c r="GJ288" s="5">
        <v>-0.21509519491351101</v>
      </c>
      <c r="GK288" s="5">
        <v>-1.4652356836690099E-2</v>
      </c>
      <c r="GL288" s="5">
        <v>-8.8655407255823406E-3</v>
      </c>
      <c r="GM288" s="5">
        <v>-0.10222903721585599</v>
      </c>
      <c r="GN288" s="5">
        <v>0.63474446902923698</v>
      </c>
      <c r="GO288" s="5">
        <v>-0.70462214645323296</v>
      </c>
      <c r="GP288" s="5">
        <v>-0.21289155485928701</v>
      </c>
      <c r="GQ288" s="5">
        <v>-5.5309506960918603E-2</v>
      </c>
      <c r="GR288" s="5">
        <v>-0.13816430691650899</v>
      </c>
      <c r="GS288" s="5">
        <v>-4.6906681123632797E-2</v>
      </c>
      <c r="GT288" s="5">
        <v>9.8422842309965605E-2</v>
      </c>
      <c r="GU288" s="5">
        <v>-0.11835272556101201</v>
      </c>
      <c r="GV288" s="5">
        <v>0.15564951241462799</v>
      </c>
      <c r="GW288" s="5">
        <v>-0.23171542752851201</v>
      </c>
      <c r="GX288" s="5">
        <v>-0.105270485317283</v>
      </c>
      <c r="GY288" s="5">
        <v>-0.122233700232733</v>
      </c>
      <c r="GZ288" s="5">
        <v>0.65971292135109705</v>
      </c>
      <c r="HA288" s="5">
        <v>-0.49310046963070098</v>
      </c>
      <c r="HB288" s="5">
        <v>-0.152840031553168</v>
      </c>
      <c r="HC288" s="5">
        <v>-4.6166190591376603E-2</v>
      </c>
      <c r="HD288" s="5">
        <v>0.37543143825867498</v>
      </c>
      <c r="HE288" s="5">
        <v>-0.229538923535277</v>
      </c>
      <c r="HF288" s="5">
        <v>0.73419392727532895</v>
      </c>
      <c r="HG288" s="5">
        <v>-0.59573117305239098</v>
      </c>
      <c r="HH288" s="5">
        <v>0.73981000016318299</v>
      </c>
      <c r="HI288" s="5">
        <v>-0.64636553675457598</v>
      </c>
      <c r="HJ288" s="5">
        <v>0.74031574292296798</v>
      </c>
      <c r="HK288" s="5">
        <v>-0.59832668882684503</v>
      </c>
      <c r="HL288" s="5">
        <v>-7.8974436676776699E-2</v>
      </c>
      <c r="HM288" s="5">
        <v>-1.8228743793252901E-3</v>
      </c>
      <c r="HN288" s="5">
        <v>0.64264035926382101</v>
      </c>
      <c r="HO288" s="5">
        <v>-0.571785108822218</v>
      </c>
      <c r="HP288" s="5">
        <v>3.0061689903567598E-2</v>
      </c>
      <c r="HQ288" s="5">
        <v>-0.27024472864865401</v>
      </c>
      <c r="HR288" s="5">
        <v>-0.14262252228043301</v>
      </c>
      <c r="HS288" s="5">
        <v>-3.4628464209086302E-2</v>
      </c>
      <c r="HT288" s="5">
        <v>0.58134379057848995</v>
      </c>
      <c r="HU288" s="5">
        <v>-0.48574212925844001</v>
      </c>
      <c r="HV288" s="5">
        <v>-7.5468022827616704E-4</v>
      </c>
      <c r="HW288" s="5">
        <v>-0.16089765740803499</v>
      </c>
      <c r="HX288" s="5">
        <v>-7.6060263485306395E-2</v>
      </c>
      <c r="HY288" s="5">
        <v>-0.100831374550947</v>
      </c>
      <c r="HZ288" s="5">
        <v>0.62599010400734401</v>
      </c>
      <c r="IA288" s="5">
        <v>-0.45553618533608098</v>
      </c>
      <c r="IB288" s="5">
        <v>0.636174656706326</v>
      </c>
      <c r="IC288" s="5">
        <v>-0.45080216903360998</v>
      </c>
      <c r="ID288" s="5">
        <v>5.7321227059081298E-2</v>
      </c>
      <c r="IE288" s="5">
        <v>-0.38248400506708202</v>
      </c>
      <c r="IF288" s="5">
        <v>-0.15224868546982101</v>
      </c>
      <c r="IG288" s="5">
        <v>-1.66555879882835E-2</v>
      </c>
      <c r="IH288" s="5">
        <v>-8.4135137087541403E-2</v>
      </c>
      <c r="II288" s="5">
        <v>-1.3421056098624E-2</v>
      </c>
      <c r="IJ288" s="5">
        <v>-0.10738006849805901</v>
      </c>
      <c r="IK288" s="5">
        <v>4.5079396941181897E-2</v>
      </c>
      <c r="IL288" s="5">
        <v>-4.7070619039226496E-3</v>
      </c>
      <c r="IM288" s="5">
        <v>-0.28809779584391498</v>
      </c>
      <c r="IN288" s="5">
        <v>-0.20867596606750599</v>
      </c>
      <c r="IO288" s="5">
        <v>6.8933415004592893E-2</v>
      </c>
      <c r="IP288" s="5">
        <v>1.80720519296921E-2</v>
      </c>
      <c r="IQ288" s="5">
        <v>-0.20076924239931099</v>
      </c>
      <c r="IR288" s="5">
        <v>-0.20377104947497901</v>
      </c>
      <c r="IS288" s="5">
        <v>0.11393531784338901</v>
      </c>
      <c r="IT288" s="5">
        <v>-3.08961038087869E-2</v>
      </c>
      <c r="IU288" s="5">
        <v>-0.15380124024692299</v>
      </c>
      <c r="IV288" s="5">
        <v>0.19262697654578501</v>
      </c>
      <c r="IW288" s="5">
        <v>-0.30348349859530499</v>
      </c>
      <c r="IX288" s="5">
        <v>-0.10941039912508101</v>
      </c>
      <c r="IY288" s="5">
        <v>-8.1451213710260803E-2</v>
      </c>
      <c r="IZ288" s="5">
        <v>0.71442041137579304</v>
      </c>
      <c r="JA288" s="5">
        <v>-0.61914359552924803</v>
      </c>
      <c r="JB288" s="5">
        <v>0.69803497996295705</v>
      </c>
      <c r="JC288" s="5">
        <v>-0.51657894599559995</v>
      </c>
      <c r="JD288" s="5">
        <v>0.36483566471573903</v>
      </c>
      <c r="JE288" s="5">
        <v>-0.35800800968832103</v>
      </c>
      <c r="JF288" s="5">
        <v>-2.8180353060333799E-2</v>
      </c>
      <c r="JG288" s="5">
        <v>-7.3222546863871904E-2</v>
      </c>
      <c r="JH288" s="5">
        <v>0.43191011297661303</v>
      </c>
      <c r="JI288" s="5">
        <v>-0.22967460470254</v>
      </c>
      <c r="JJ288" s="5">
        <v>-9.0158275985205094E-2</v>
      </c>
      <c r="JK288" s="5">
        <v>-0.136736208860397</v>
      </c>
      <c r="JL288" s="5">
        <v>3.2653079831687301E-4</v>
      </c>
      <c r="JM288" s="5">
        <v>-0.19173963837407201</v>
      </c>
      <c r="JN288" s="5">
        <v>4.5217546311438803E-2</v>
      </c>
      <c r="JO288" s="5">
        <v>-0.190806502490459</v>
      </c>
      <c r="JP288" s="5">
        <v>-9.1123847005096306E-2</v>
      </c>
      <c r="JQ288" s="5">
        <v>-6.5274408488437893E-2</v>
      </c>
      <c r="JR288" s="5">
        <v>-0.24134967202947</v>
      </c>
      <c r="JS288" s="5">
        <v>7.6932810657223405E-2</v>
      </c>
      <c r="JT288" s="5">
        <v>-0.24262828139388201</v>
      </c>
      <c r="JU288" s="5">
        <v>0.13695571121078901</v>
      </c>
      <c r="JV288" s="5">
        <v>-0.232771849867838</v>
      </c>
      <c r="JW288" s="5">
        <v>7.6204303702633203E-2</v>
      </c>
      <c r="JX288" s="5">
        <v>0.70723883049612202</v>
      </c>
      <c r="JY288" s="5">
        <v>-0.58610760916499605</v>
      </c>
      <c r="JZ288" s="5">
        <v>-3.0496454998977799E-2</v>
      </c>
      <c r="KA288" s="5">
        <v>-8.4223262911276797E-2</v>
      </c>
      <c r="KB288" s="5">
        <v>1</v>
      </c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</row>
    <row r="289" spans="1:389" x14ac:dyDescent="0.45">
      <c r="A289" s="4" t="str">
        <f ca="1">"PRK / beta2dist in "&amp;CELL("address",'damages-1990'!$K$145)</f>
        <v>PRK / beta2dist in '[BHM betas v3pd.xlsx]damages-1990'!$K$145</v>
      </c>
      <c r="B289" s="6">
        <v>-7.0739040263503597E-2</v>
      </c>
      <c r="C289" s="5">
        <v>0.180574848707792</v>
      </c>
      <c r="D289" s="5">
        <v>-8.1402488507567497E-2</v>
      </c>
      <c r="E289" s="5">
        <v>0.30076020705679102</v>
      </c>
      <c r="F289" s="5">
        <v>-0.24519663375509501</v>
      </c>
      <c r="G289" s="5">
        <v>0.37038170269492299</v>
      </c>
      <c r="H289" s="5">
        <v>-0.59502025329615404</v>
      </c>
      <c r="I289" s="5">
        <v>0.56244634136779703</v>
      </c>
      <c r="J289" s="5">
        <v>0.18725258010825799</v>
      </c>
      <c r="K289" s="5">
        <v>5.5205848245054097E-2</v>
      </c>
      <c r="L289" s="5">
        <v>-1.7830548479473601E-2</v>
      </c>
      <c r="M289" s="5">
        <v>0.123922602646184</v>
      </c>
      <c r="N289" s="5">
        <v>-0.28490943705660499</v>
      </c>
      <c r="O289" s="5">
        <v>0.194950060809682</v>
      </c>
      <c r="P289" s="5">
        <v>6.0182296560500503E-2</v>
      </c>
      <c r="Q289" s="5">
        <v>5.0835802805597699E-2</v>
      </c>
      <c r="R289" s="5">
        <v>0.136555904535519</v>
      </c>
      <c r="S289" s="5">
        <v>9.9725664405413805E-2</v>
      </c>
      <c r="T289" s="5">
        <v>-0.51424269295008895</v>
      </c>
      <c r="U289" s="5">
        <v>0.510793852796953</v>
      </c>
      <c r="V289" s="5">
        <v>-0.11392644990518699</v>
      </c>
      <c r="W289" s="5">
        <v>0.23928073889260701</v>
      </c>
      <c r="X289" s="5">
        <v>-9.0003778890465805E-2</v>
      </c>
      <c r="Y289" s="5">
        <v>0.28850139160229499</v>
      </c>
      <c r="Z289" s="5">
        <v>-0.57506571208082602</v>
      </c>
      <c r="AA289" s="5">
        <v>0.68343884756939599</v>
      </c>
      <c r="AB289" s="5">
        <v>-0.113456894465694</v>
      </c>
      <c r="AC289" s="5">
        <v>0.195158374818415</v>
      </c>
      <c r="AD289" s="5">
        <v>-0.117141162175135</v>
      </c>
      <c r="AE289" s="5">
        <v>0.18709772627930801</v>
      </c>
      <c r="AF289" s="5">
        <v>0.31370155700860503</v>
      </c>
      <c r="AG289" s="5">
        <v>-0.11454495224699</v>
      </c>
      <c r="AH289" s="5">
        <v>-0.34282107739030998</v>
      </c>
      <c r="AI289" s="5">
        <v>0.44898972764026301</v>
      </c>
      <c r="AJ289" s="5">
        <v>0.26822939378757199</v>
      </c>
      <c r="AK289" s="5">
        <v>2.6062261866589401E-2</v>
      </c>
      <c r="AL289" s="5">
        <v>0.16212608216070901</v>
      </c>
      <c r="AM289" s="5">
        <v>-2.4219629103951899E-2</v>
      </c>
      <c r="AN289" s="5">
        <v>-0.40882288458570698</v>
      </c>
      <c r="AO289" s="5">
        <v>0.44929657084540497</v>
      </c>
      <c r="AP289" s="5">
        <v>-0.62565607797578404</v>
      </c>
      <c r="AQ289" s="5">
        <v>0.63733144298516897</v>
      </c>
      <c r="AR289" s="5">
        <v>0.20053931934788399</v>
      </c>
      <c r="AS289" s="5">
        <v>-1.02088037471259E-2</v>
      </c>
      <c r="AT289" s="5">
        <v>0.337505887429775</v>
      </c>
      <c r="AU289" s="5">
        <v>-0.22437461768671699</v>
      </c>
      <c r="AV289" s="5">
        <v>0.28106604917028299</v>
      </c>
      <c r="AW289" s="5">
        <v>-6.4309028829515905E-2</v>
      </c>
      <c r="AX289" s="5">
        <v>0.25873270298540102</v>
      </c>
      <c r="AY289" s="5">
        <v>3.9099722474533801E-3</v>
      </c>
      <c r="AZ289" s="5">
        <v>0.13211594723775599</v>
      </c>
      <c r="BA289" s="5">
        <v>-5.7599808272922798E-2</v>
      </c>
      <c r="BB289" s="5">
        <v>3.0413538818444299E-2</v>
      </c>
      <c r="BC289" s="5">
        <v>0.19964930322982199</v>
      </c>
      <c r="BD289" s="5">
        <v>-0.30880045856951599</v>
      </c>
      <c r="BE289" s="5">
        <v>0.426864498208198</v>
      </c>
      <c r="BF289" s="5">
        <v>6.20718643665535E-2</v>
      </c>
      <c r="BG289" s="5">
        <v>0.15770427154071701</v>
      </c>
      <c r="BH289" s="5">
        <v>1.1774603847096001E-2</v>
      </c>
      <c r="BI289" s="5">
        <v>0.13690975228838401</v>
      </c>
      <c r="BJ289" s="5">
        <v>-0.41435352243246798</v>
      </c>
      <c r="BK289" s="5">
        <v>0.175461875027032</v>
      </c>
      <c r="BL289" s="5">
        <v>-0.54823452431742303</v>
      </c>
      <c r="BM289" s="5">
        <v>0.53098003359664803</v>
      </c>
      <c r="BN289" s="5">
        <v>-0.16998904684906899</v>
      </c>
      <c r="BO289" s="5">
        <v>7.6186505371766702E-2</v>
      </c>
      <c r="BP289" s="5">
        <v>-0.51299338115439297</v>
      </c>
      <c r="BQ289" s="5">
        <v>0.56210898896874095</v>
      </c>
      <c r="BR289" s="5">
        <v>-0.14535133311846199</v>
      </c>
      <c r="BS289" s="5">
        <v>0.205485986758246</v>
      </c>
      <c r="BT289" s="5">
        <v>6.9559802840390095E-2</v>
      </c>
      <c r="BU289" s="5">
        <v>0.122055580710466</v>
      </c>
      <c r="BV289" s="5">
        <v>-8.0523389959187397E-2</v>
      </c>
      <c r="BW289" s="5">
        <v>0.27480396922874301</v>
      </c>
      <c r="BX289" s="5">
        <v>-0.14266186031959999</v>
      </c>
      <c r="BY289" s="5">
        <v>0.30150790089437701</v>
      </c>
      <c r="BZ289" s="5">
        <v>3.2530500031007901E-2</v>
      </c>
      <c r="CA289" s="5">
        <v>0.16197345675820499</v>
      </c>
      <c r="CB289" s="5">
        <v>-2.6427035490240801E-2</v>
      </c>
      <c r="CC289" s="5">
        <v>0.15969877600228699</v>
      </c>
      <c r="CD289" s="5">
        <v>0.10209788153575</v>
      </c>
      <c r="CE289" s="5">
        <v>-4.01346778829988E-2</v>
      </c>
      <c r="CF289" s="5">
        <v>0.132862270065529</v>
      </c>
      <c r="CG289" s="5">
        <v>-1.05265181962188E-2</v>
      </c>
      <c r="CH289" s="5">
        <v>0.131020957845847</v>
      </c>
      <c r="CI289" s="5">
        <v>-7.6608958050176004E-3</v>
      </c>
      <c r="CJ289" s="5">
        <v>0.28268479041429501</v>
      </c>
      <c r="CK289" s="5">
        <v>-7.9943545571740202E-2</v>
      </c>
      <c r="CL289" s="5">
        <v>-0.52125203465543302</v>
      </c>
      <c r="CM289" s="5">
        <v>0.56273783711538705</v>
      </c>
      <c r="CN289" s="5">
        <v>-0.59621110412259903</v>
      </c>
      <c r="CO289" s="5">
        <v>0.68537666109158202</v>
      </c>
      <c r="CP289" s="5">
        <v>4.3673166396785E-2</v>
      </c>
      <c r="CQ289" s="5">
        <v>9.9778876953040604E-3</v>
      </c>
      <c r="CR289" s="5">
        <v>9.9597272448650007E-2</v>
      </c>
      <c r="CS289" s="5">
        <v>-2.03711350026805E-2</v>
      </c>
      <c r="CT289" s="5">
        <v>-0.66403410047337497</v>
      </c>
      <c r="CU289" s="5">
        <v>0.69706913938774995</v>
      </c>
      <c r="CV289" s="5">
        <v>-0.123958086010184</v>
      </c>
      <c r="CW289" s="5">
        <v>0.25393523007794599</v>
      </c>
      <c r="CX289" s="5">
        <v>0.14355786632145401</v>
      </c>
      <c r="CY289" s="5">
        <v>0.10999118400244701</v>
      </c>
      <c r="CZ289" s="5">
        <v>-4.9267594147555299E-2</v>
      </c>
      <c r="DA289" s="5">
        <v>0.26088500483174099</v>
      </c>
      <c r="DB289" s="5">
        <v>0.23979756607031499</v>
      </c>
      <c r="DC289" s="5">
        <v>8.0682061442056696E-2</v>
      </c>
      <c r="DD289" s="5">
        <v>4.7687857845375901E-2</v>
      </c>
      <c r="DE289" s="5">
        <v>5.2664650341302903E-2</v>
      </c>
      <c r="DF289" s="5">
        <v>0.38125553045939398</v>
      </c>
      <c r="DG289" s="5">
        <v>-0.23377499932828499</v>
      </c>
      <c r="DH289" s="5">
        <v>-6.9432477413174196E-2</v>
      </c>
      <c r="DI289" s="5">
        <v>0.225902081520158</v>
      </c>
      <c r="DJ289" s="5">
        <v>-0.63218220132076597</v>
      </c>
      <c r="DK289" s="5">
        <v>0.62594394530415798</v>
      </c>
      <c r="DL289" s="5">
        <v>2.5822482187086101E-2</v>
      </c>
      <c r="DM289" s="5">
        <v>9.9727097036177104E-2</v>
      </c>
      <c r="DN289" s="5">
        <v>-0.63062553039227598</v>
      </c>
      <c r="DO289" s="5">
        <v>0.56887094023760598</v>
      </c>
      <c r="DP289" s="5">
        <v>8.0773252435904996E-2</v>
      </c>
      <c r="DQ289" s="5">
        <v>4.1905745772007702E-2</v>
      </c>
      <c r="DR289" s="5">
        <v>-0.43683573457345398</v>
      </c>
      <c r="DS289" s="5">
        <v>0.58420157296023001</v>
      </c>
      <c r="DT289" s="5">
        <v>0.16715669448315201</v>
      </c>
      <c r="DU289" s="5">
        <v>-9.79641700678269E-2</v>
      </c>
      <c r="DV289" s="5">
        <v>-0.26785825907956001</v>
      </c>
      <c r="DW289" s="5">
        <v>0.40263647361677402</v>
      </c>
      <c r="DX289" s="5">
        <v>-0.56409130561518295</v>
      </c>
      <c r="DY289" s="5">
        <v>0.55526315264032</v>
      </c>
      <c r="DZ289" s="5">
        <v>-0.3820334269026</v>
      </c>
      <c r="EA289" s="5">
        <v>0.35647744001151299</v>
      </c>
      <c r="EB289" s="5">
        <v>-5.6434508802722799E-2</v>
      </c>
      <c r="EC289" s="5">
        <v>0.168553642195793</v>
      </c>
      <c r="ED289" s="5">
        <v>-0.10323792634248399</v>
      </c>
      <c r="EE289" s="5">
        <v>0.201096435000931</v>
      </c>
      <c r="EF289" s="5">
        <v>6.6548796122227694E-2</v>
      </c>
      <c r="EG289" s="5">
        <v>2.06821253397661E-2</v>
      </c>
      <c r="EH289" s="5">
        <v>0.119919057602336</v>
      </c>
      <c r="EI289" s="5">
        <v>3.6454918294651799E-2</v>
      </c>
      <c r="EJ289" s="5">
        <v>4.2886088728054897E-2</v>
      </c>
      <c r="EK289" s="5">
        <v>0.112407304230869</v>
      </c>
      <c r="EL289" s="5">
        <v>0.16593907332532801</v>
      </c>
      <c r="EM289" s="5">
        <v>-3.8593859396845301E-2</v>
      </c>
      <c r="EN289" s="5">
        <v>5.6831279728459097E-2</v>
      </c>
      <c r="EO289" s="5">
        <v>8.2017435512043296E-2</v>
      </c>
      <c r="EP289" s="5">
        <v>9.94479777410609E-2</v>
      </c>
      <c r="EQ289" s="5">
        <v>1.79500816970685E-3</v>
      </c>
      <c r="ER289" s="5">
        <v>0.134378127868025</v>
      </c>
      <c r="ES289" s="5">
        <v>8.4410184099786401E-2</v>
      </c>
      <c r="ET289" s="5">
        <v>0.165185631460742</v>
      </c>
      <c r="EU289" s="5">
        <v>6.9437851016755203E-2</v>
      </c>
      <c r="EV289" s="5">
        <v>0.27137201942005001</v>
      </c>
      <c r="EW289" s="5">
        <v>3.1290309696515202E-3</v>
      </c>
      <c r="EX289" s="5">
        <v>0.26513337131716302</v>
      </c>
      <c r="EY289" s="5">
        <v>1.51233484348512E-3</v>
      </c>
      <c r="EZ289" s="5">
        <v>0.113482678397125</v>
      </c>
      <c r="FA289" s="5">
        <v>0.107411108548408</v>
      </c>
      <c r="FB289" s="5">
        <v>-0.29914312051730702</v>
      </c>
      <c r="FC289" s="5">
        <v>0.39959286786689802</v>
      </c>
      <c r="FD289" s="5">
        <v>-7.6697374771354798E-2</v>
      </c>
      <c r="FE289" s="5">
        <v>0.21753470363611899</v>
      </c>
      <c r="FF289" s="5">
        <v>-0.36574044172242498</v>
      </c>
      <c r="FG289" s="5">
        <v>0.451430231603625</v>
      </c>
      <c r="FH289" s="5">
        <v>0.29335582747344802</v>
      </c>
      <c r="FI289" s="5">
        <v>-0.26391403528304203</v>
      </c>
      <c r="FJ289" s="5">
        <v>-1.2600672697378801E-2</v>
      </c>
      <c r="FK289" s="5">
        <v>0.25330651979562602</v>
      </c>
      <c r="FL289" s="5">
        <v>-0.33618221943403398</v>
      </c>
      <c r="FM289" s="5">
        <v>0.242054271070827</v>
      </c>
      <c r="FN289" s="5">
        <v>-6.5245798790809096E-3</v>
      </c>
      <c r="FO289" s="5">
        <v>0.18343937862634399</v>
      </c>
      <c r="FP289" s="5">
        <v>0.264348346395264</v>
      </c>
      <c r="FQ289" s="5">
        <v>-5.3764571307084702E-2</v>
      </c>
      <c r="FR289" s="5">
        <v>-1.7656756559263201E-2</v>
      </c>
      <c r="FS289" s="5">
        <v>-0.27395855469352298</v>
      </c>
      <c r="FT289" s="5">
        <v>0.25005073529334698</v>
      </c>
      <c r="FU289" s="5">
        <v>2.8362207359495399E-2</v>
      </c>
      <c r="FV289" s="5">
        <v>-0.18003455946988001</v>
      </c>
      <c r="FW289" s="5">
        <v>0.31345589276656899</v>
      </c>
      <c r="FX289" s="5">
        <v>0.100353870810432</v>
      </c>
      <c r="FY289" s="5">
        <v>4.1642265859936897E-2</v>
      </c>
      <c r="FZ289" s="5">
        <v>0.20177707444646201</v>
      </c>
      <c r="GA289" s="5">
        <v>7.6895150266813303E-2</v>
      </c>
      <c r="GB289" s="5">
        <v>-0.442245199931455</v>
      </c>
      <c r="GC289" s="5">
        <v>0.63278439594667801</v>
      </c>
      <c r="GD289" s="5">
        <v>-0.49520598306084002</v>
      </c>
      <c r="GE289" s="5">
        <v>0.50164041493132905</v>
      </c>
      <c r="GF289" s="5">
        <v>0.10178783389771601</v>
      </c>
      <c r="GG289" s="5">
        <v>9.2367836179046897E-2</v>
      </c>
      <c r="GH289" s="5">
        <v>-0.10671138251412</v>
      </c>
      <c r="GI289" s="5">
        <v>-0.105108397213218</v>
      </c>
      <c r="GJ289" s="5">
        <v>0.17839041056716601</v>
      </c>
      <c r="GK289" s="5">
        <v>5.7007009191100397E-2</v>
      </c>
      <c r="GL289" s="5">
        <v>3.7742261755895998E-2</v>
      </c>
      <c r="GM289" s="5">
        <v>6.9513270278650702E-2</v>
      </c>
      <c r="GN289" s="5">
        <v>-0.38651682271632698</v>
      </c>
      <c r="GO289" s="5">
        <v>0.60683230764714302</v>
      </c>
      <c r="GP289" s="5">
        <v>0.25423465632669301</v>
      </c>
      <c r="GQ289" s="5">
        <v>1.9058508816413799E-2</v>
      </c>
      <c r="GR289" s="5">
        <v>0.15168498042900999</v>
      </c>
      <c r="GS289" s="5">
        <v>5.2446872240627697E-2</v>
      </c>
      <c r="GT289" s="5">
        <v>0.10725474733114999</v>
      </c>
      <c r="GU289" s="5">
        <v>1.5561452123751899E-2</v>
      </c>
      <c r="GV289" s="5">
        <v>-0.16315441092185701</v>
      </c>
      <c r="GW289" s="5">
        <v>0.238089157401708</v>
      </c>
      <c r="GX289" s="5">
        <v>0.143297953944272</v>
      </c>
      <c r="GY289" s="5">
        <v>0.112196357667229</v>
      </c>
      <c r="GZ289" s="5">
        <v>-0.550140803099889</v>
      </c>
      <c r="HA289" s="5">
        <v>0.54082485119051904</v>
      </c>
      <c r="HB289" s="5">
        <v>0.18281245086314499</v>
      </c>
      <c r="HC289" s="5">
        <v>2.1956671373834599E-2</v>
      </c>
      <c r="HD289" s="5">
        <v>-0.13614819003981901</v>
      </c>
      <c r="HE289" s="5">
        <v>0.14765217116155299</v>
      </c>
      <c r="HF289" s="5">
        <v>-0.61479659080370896</v>
      </c>
      <c r="HG289" s="5">
        <v>0.62675658504646203</v>
      </c>
      <c r="HH289" s="5">
        <v>-0.59015410873010299</v>
      </c>
      <c r="HI289" s="5">
        <v>0.68861290850822798</v>
      </c>
      <c r="HJ289" s="5">
        <v>-0.64915864998176598</v>
      </c>
      <c r="HK289" s="5">
        <v>0.65143788778468803</v>
      </c>
      <c r="HL289" s="5">
        <v>0.249308921403357</v>
      </c>
      <c r="HM289" s="5">
        <v>-0.102186098478331</v>
      </c>
      <c r="HN289" s="5">
        <v>-0.45280954010465901</v>
      </c>
      <c r="HO289" s="5">
        <v>0.56231467261912804</v>
      </c>
      <c r="HP289" s="5">
        <v>-2.4377370535516099E-2</v>
      </c>
      <c r="HQ289" s="5">
        <v>0.313575624038127</v>
      </c>
      <c r="HR289" s="5">
        <v>0.19939655710023299</v>
      </c>
      <c r="HS289" s="5">
        <v>2.0574856001105001E-2</v>
      </c>
      <c r="HT289" s="5">
        <v>-0.35465727026341198</v>
      </c>
      <c r="HU289" s="5">
        <v>0.42992954663917898</v>
      </c>
      <c r="HV289" s="5">
        <v>-1.6964294970470899E-2</v>
      </c>
      <c r="HW289" s="5">
        <v>0.17313822452670899</v>
      </c>
      <c r="HX289" s="5">
        <v>0.11688805822239</v>
      </c>
      <c r="HY289" s="5">
        <v>7.3447963722680296E-2</v>
      </c>
      <c r="HZ289" s="5">
        <v>-0.433455719083229</v>
      </c>
      <c r="IA289" s="5">
        <v>0.44322448282672799</v>
      </c>
      <c r="IB289" s="5">
        <v>-0.54463526966331799</v>
      </c>
      <c r="IC289" s="5">
        <v>0.500867940989973</v>
      </c>
      <c r="ID289" s="5">
        <v>-7.4496821245749703E-2</v>
      </c>
      <c r="IE289" s="5">
        <v>0.42844644767673701</v>
      </c>
      <c r="IF289" s="5">
        <v>0.200247390217833</v>
      </c>
      <c r="IG289" s="5">
        <v>-3.84728652094114E-2</v>
      </c>
      <c r="IH289" s="5">
        <v>0.11462308965281</v>
      </c>
      <c r="II289" s="5">
        <v>-3.0474632939016099E-2</v>
      </c>
      <c r="IJ289" s="5">
        <v>0.104771400379189</v>
      </c>
      <c r="IK289" s="5">
        <v>-2.5641427930157001E-2</v>
      </c>
      <c r="IL289" s="5">
        <v>1.8954772810872201E-2</v>
      </c>
      <c r="IM289" s="5">
        <v>0.29812886285595602</v>
      </c>
      <c r="IN289" s="5">
        <v>0.214293612539002</v>
      </c>
      <c r="IO289" s="5">
        <v>-7.4303986641491293E-2</v>
      </c>
      <c r="IP289" s="5">
        <v>3.1536284620536703E-2</v>
      </c>
      <c r="IQ289" s="5">
        <v>0.199872187644343</v>
      </c>
      <c r="IR289" s="5">
        <v>0.26946862818837403</v>
      </c>
      <c r="IS289" s="5">
        <v>-0.151405377558603</v>
      </c>
      <c r="IT289" s="5">
        <v>2.33596238832539E-2</v>
      </c>
      <c r="IU289" s="5">
        <v>0.16218766761914</v>
      </c>
      <c r="IV289" s="5">
        <v>-0.22945466673905901</v>
      </c>
      <c r="IW289" s="5">
        <v>0.33476725375222299</v>
      </c>
      <c r="IX289" s="5">
        <v>0.109911555027165</v>
      </c>
      <c r="IY289" s="5">
        <v>8.39863843278153E-2</v>
      </c>
      <c r="IZ289" s="5">
        <v>-0.60231901096330598</v>
      </c>
      <c r="JA289" s="5">
        <v>0.69400766754466903</v>
      </c>
      <c r="JB289" s="5">
        <v>-0.59707271717853605</v>
      </c>
      <c r="JC289" s="5">
        <v>0.54785544845126399</v>
      </c>
      <c r="JD289" s="5">
        <v>-0.12221202283310501</v>
      </c>
      <c r="JE289" s="5">
        <v>0.24230592000468301</v>
      </c>
      <c r="JF289" s="5">
        <v>2.99314641415267E-3</v>
      </c>
      <c r="JG289" s="5">
        <v>9.1637829634182599E-2</v>
      </c>
      <c r="JH289" s="5">
        <v>-0.14982520964051199</v>
      </c>
      <c r="JI289" s="5">
        <v>0.10067112278389501</v>
      </c>
      <c r="JJ289" s="5">
        <v>0.136162615970331</v>
      </c>
      <c r="JK289" s="5">
        <v>0.10149814974521799</v>
      </c>
      <c r="JL289" s="5">
        <v>5.8151304402086303E-2</v>
      </c>
      <c r="JM289" s="5">
        <v>0.181130004851972</v>
      </c>
      <c r="JN289" s="5">
        <v>-8.6500956551901001E-2</v>
      </c>
      <c r="JO289" s="5">
        <v>0.22856456032382699</v>
      </c>
      <c r="JP289" s="5">
        <v>0.15650559579935899</v>
      </c>
      <c r="JQ289" s="5">
        <v>2.7912374307237701E-2</v>
      </c>
      <c r="JR289" s="5">
        <v>0.28692217602368397</v>
      </c>
      <c r="JS289" s="5">
        <v>-0.12330387203261201</v>
      </c>
      <c r="JT289" s="5">
        <v>0.312908313937523</v>
      </c>
      <c r="JU289" s="5">
        <v>-0.22624405578978499</v>
      </c>
      <c r="JV289" s="5">
        <v>0.27754552522214399</v>
      </c>
      <c r="JW289" s="5">
        <v>-0.13152130586295199</v>
      </c>
      <c r="JX289" s="5">
        <v>-0.55834835812188299</v>
      </c>
      <c r="JY289" s="5">
        <v>0.60717879934446894</v>
      </c>
      <c r="JZ289" s="5">
        <v>6.22730786376521E-2</v>
      </c>
      <c r="KA289" s="5">
        <v>5.4099039035339899E-2</v>
      </c>
      <c r="KB289" s="5">
        <v>-0.89551249092943597</v>
      </c>
      <c r="KC289" s="5">
        <v>1</v>
      </c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</row>
    <row r="290" spans="1:389" x14ac:dyDescent="0.45">
      <c r="A290" s="4" t="str">
        <f ca="1">"PRT / beta1dist in "&amp;CELL("address",'damages-1990'!$J$146)</f>
        <v>PRT / beta1dist in '[BHM betas v3pd.xlsx]damages-1990'!$J$146</v>
      </c>
      <c r="B290" s="6">
        <v>0.48941075598562001</v>
      </c>
      <c r="C290" s="5">
        <v>-9.8274030671240506E-2</v>
      </c>
      <c r="D290" s="5">
        <v>0.33313103430048802</v>
      </c>
      <c r="E290" s="5">
        <v>-0.17423035314879801</v>
      </c>
      <c r="F290" s="5">
        <v>0.43241669670340399</v>
      </c>
      <c r="G290" s="5">
        <v>-6.3148817948221303E-2</v>
      </c>
      <c r="H290" s="5">
        <v>-0.121932039090138</v>
      </c>
      <c r="I290" s="5">
        <v>0.28948682853545998</v>
      </c>
      <c r="J290" s="5">
        <v>0.40123336486755201</v>
      </c>
      <c r="K290" s="5">
        <v>-0.200644829606619</v>
      </c>
      <c r="L290" s="5">
        <v>0.33714956261400802</v>
      </c>
      <c r="M290" s="5">
        <v>2.30740185761063E-2</v>
      </c>
      <c r="N290" s="5">
        <v>0.264978560314861</v>
      </c>
      <c r="O290" s="5">
        <v>-5.9831035016154298E-2</v>
      </c>
      <c r="P290" s="5">
        <v>0.26822428459194902</v>
      </c>
      <c r="Q290" s="5">
        <v>-0.10434174256887099</v>
      </c>
      <c r="R290" s="5">
        <v>0.33182565296007799</v>
      </c>
      <c r="S290" s="5">
        <v>-0.10696384333452701</v>
      </c>
      <c r="T290" s="5">
        <v>8.4610337644847405E-2</v>
      </c>
      <c r="U290" s="5">
        <v>7.4101195408613693E-2</v>
      </c>
      <c r="V290" s="5">
        <v>0.39321356169711502</v>
      </c>
      <c r="W290" s="5">
        <v>6.4593200890636499E-2</v>
      </c>
      <c r="X290" s="5">
        <v>0.34540889963736898</v>
      </c>
      <c r="Y290" s="5">
        <v>-0.135131017914984</v>
      </c>
      <c r="Z290" s="5">
        <v>0.23419288665430299</v>
      </c>
      <c r="AA290" s="5">
        <v>3.4967628360026898E-2</v>
      </c>
      <c r="AB290" s="5">
        <v>0.12204117093881101</v>
      </c>
      <c r="AC290" s="5">
        <v>-4.9690803858928399E-2</v>
      </c>
      <c r="AD290" s="5">
        <v>7.5888147102563294E-2</v>
      </c>
      <c r="AE290" s="5">
        <v>4.2715902653192497E-3</v>
      </c>
      <c r="AF290" s="5">
        <v>0.207152499239391</v>
      </c>
      <c r="AG290" s="5">
        <v>-2.2459299036136499E-2</v>
      </c>
      <c r="AH290" s="5">
        <v>0.35889619465662698</v>
      </c>
      <c r="AI290" s="5">
        <v>-5.6412939973188398E-3</v>
      </c>
      <c r="AJ290" s="5">
        <v>0.35767618641882498</v>
      </c>
      <c r="AK290" s="5">
        <v>-0.100914136028011</v>
      </c>
      <c r="AL290" s="5">
        <v>0.23360345540117899</v>
      </c>
      <c r="AM290" s="5">
        <v>-0.10229290428462399</v>
      </c>
      <c r="AN290" s="5">
        <v>0.30292400382564399</v>
      </c>
      <c r="AO290" s="5">
        <v>-3.04879390223484E-2</v>
      </c>
      <c r="AP290" s="5">
        <v>7.7943664502422405E-2</v>
      </c>
      <c r="AQ290" s="5">
        <v>7.2703170823982602E-2</v>
      </c>
      <c r="AR290" s="5">
        <v>0.36795783061489401</v>
      </c>
      <c r="AS290" s="5">
        <v>-0.21483503407731999</v>
      </c>
      <c r="AT290" s="5">
        <v>0.175658053168013</v>
      </c>
      <c r="AU290" s="5">
        <v>-3.3121058954293403E-2</v>
      </c>
      <c r="AV290" s="5">
        <v>0.351751098688868</v>
      </c>
      <c r="AW290" s="5">
        <v>-0.10626946060471699</v>
      </c>
      <c r="AX290" s="5">
        <v>0.366696687039336</v>
      </c>
      <c r="AY290" s="5">
        <v>-0.19383877378532699</v>
      </c>
      <c r="AZ290" s="5">
        <v>0.30662763654774899</v>
      </c>
      <c r="BA290" s="5">
        <v>-0.16637400157770599</v>
      </c>
      <c r="BB290" s="5">
        <v>0.30186013957982299</v>
      </c>
      <c r="BC290" s="5">
        <v>-0.154353905853826</v>
      </c>
      <c r="BD290" s="5">
        <v>0.36385884647651601</v>
      </c>
      <c r="BE290" s="5">
        <v>7.2887060208972704E-2</v>
      </c>
      <c r="BF290" s="5">
        <v>0.20518505028631501</v>
      </c>
      <c r="BG290" s="5">
        <v>-1.35304144223995E-2</v>
      </c>
      <c r="BH290" s="5">
        <v>0.28870327790767802</v>
      </c>
      <c r="BI290" s="5">
        <v>-0.15861343588823901</v>
      </c>
      <c r="BJ290" s="5">
        <v>-0.10042991354175999</v>
      </c>
      <c r="BK290" s="5">
        <v>0.17914539614171901</v>
      </c>
      <c r="BL290" s="5">
        <v>3.4076784664053603E-2</v>
      </c>
      <c r="BM290" s="5">
        <v>0.112932867111065</v>
      </c>
      <c r="BN290" s="5">
        <v>0.253717861321408</v>
      </c>
      <c r="BO290" s="5">
        <v>5.6101178533910098E-2</v>
      </c>
      <c r="BP290" s="5">
        <v>0.17461687761991601</v>
      </c>
      <c r="BQ290" s="5">
        <v>0.144345115413687</v>
      </c>
      <c r="BR290" s="5">
        <v>0.15369858080350701</v>
      </c>
      <c r="BS290" s="5">
        <v>-9.6846449088878406E-2</v>
      </c>
      <c r="BT290" s="5">
        <v>0.26535069452580501</v>
      </c>
      <c r="BU290" s="5">
        <v>-0.11189343768417701</v>
      </c>
      <c r="BV290" s="5">
        <v>0.31642119661852702</v>
      </c>
      <c r="BW290" s="5">
        <v>-0.18354838742350199</v>
      </c>
      <c r="BX290" s="5">
        <v>0.20983321963756901</v>
      </c>
      <c r="BY290" s="5">
        <v>-0.102459915217552</v>
      </c>
      <c r="BZ290" s="5">
        <v>0.34732030826841997</v>
      </c>
      <c r="CA290" s="5">
        <v>-0.23899762113629899</v>
      </c>
      <c r="CB290" s="5">
        <v>0.16016679845465501</v>
      </c>
      <c r="CC290" s="5">
        <v>-3.0570846059814098E-4</v>
      </c>
      <c r="CD290" s="5">
        <v>0.47698586819840599</v>
      </c>
      <c r="CE290" s="5">
        <v>-0.31440463643069999</v>
      </c>
      <c r="CF290" s="5">
        <v>0.35436926970070298</v>
      </c>
      <c r="CG290" s="5">
        <v>-0.22103767605414301</v>
      </c>
      <c r="CH290" s="5">
        <v>0.18561713800403201</v>
      </c>
      <c r="CI290" s="5">
        <v>-6.7917365316113601E-2</v>
      </c>
      <c r="CJ290" s="5">
        <v>0.31220310806382401</v>
      </c>
      <c r="CK290" s="5">
        <v>-4.5444423722023002E-2</v>
      </c>
      <c r="CL290" s="5">
        <v>0.15547513054037199</v>
      </c>
      <c r="CM290" s="5">
        <v>4.67114694499733E-2</v>
      </c>
      <c r="CN290" s="5">
        <v>0.193846801115137</v>
      </c>
      <c r="CO290" s="5">
        <v>4.4672468848625697E-2</v>
      </c>
      <c r="CP290" s="5">
        <v>0.35571860526898302</v>
      </c>
      <c r="CQ290" s="5">
        <v>-0.25255113250387001</v>
      </c>
      <c r="CR290" s="5">
        <v>0.322705938761366</v>
      </c>
      <c r="CS290" s="5">
        <v>-0.14593504032311799</v>
      </c>
      <c r="CT290" s="5">
        <v>8.3807296398367995E-2</v>
      </c>
      <c r="CU290" s="5">
        <v>8.4537008670695801E-2</v>
      </c>
      <c r="CV290" s="5">
        <v>0.121156301525533</v>
      </c>
      <c r="CW290" s="5">
        <v>6.2973506797324094E-2</v>
      </c>
      <c r="CX290" s="5">
        <v>0.20169919748958001</v>
      </c>
      <c r="CY290" s="5">
        <v>5.0959617792642603E-2</v>
      </c>
      <c r="CZ290" s="5">
        <v>0.34589146778413399</v>
      </c>
      <c r="DA290" s="5">
        <v>-0.18044717593270199</v>
      </c>
      <c r="DB290" s="5">
        <v>0.25980073307496898</v>
      </c>
      <c r="DC290" s="5">
        <v>9.7336998559142102E-2</v>
      </c>
      <c r="DD290" s="5">
        <v>0.24363571175078499</v>
      </c>
      <c r="DE290" s="5">
        <v>-9.5382037267920397E-2</v>
      </c>
      <c r="DF290" s="5">
        <v>0.60412415780998796</v>
      </c>
      <c r="DG290" s="5">
        <v>-0.43562524143714798</v>
      </c>
      <c r="DH290" s="5">
        <v>0.77455803289380598</v>
      </c>
      <c r="DI290" s="5">
        <v>-0.51133231199556295</v>
      </c>
      <c r="DJ290" s="5">
        <v>4.26324649033315E-3</v>
      </c>
      <c r="DK290" s="5">
        <v>0.120696746694215</v>
      </c>
      <c r="DL290" s="5">
        <v>0.487145778825889</v>
      </c>
      <c r="DM290" s="5">
        <v>-0.308320142273456</v>
      </c>
      <c r="DN290" s="5">
        <v>-0.10121795449509299</v>
      </c>
      <c r="DO290" s="5">
        <v>0.20276502150034001</v>
      </c>
      <c r="DP290" s="5">
        <v>0.123917891821465</v>
      </c>
      <c r="DQ290" s="5">
        <v>8.2011714064211497E-2</v>
      </c>
      <c r="DR290" s="5">
        <v>0.406049790808098</v>
      </c>
      <c r="DS290" s="5">
        <v>-9.2518755653133194E-2</v>
      </c>
      <c r="DT290" s="5">
        <v>0.27571511463120102</v>
      </c>
      <c r="DU290" s="5">
        <v>-0.174585748836392</v>
      </c>
      <c r="DV290" s="5">
        <v>9.9056793808482396E-2</v>
      </c>
      <c r="DW290" s="5">
        <v>-1.19721016663398E-3</v>
      </c>
      <c r="DX290" s="5">
        <v>5.1420073809801702E-2</v>
      </c>
      <c r="DY290" s="5">
        <v>0.16414529459903501</v>
      </c>
      <c r="DZ290" s="5">
        <v>0.266443620265984</v>
      </c>
      <c r="EA290" s="5">
        <v>-3.2148306792490297E-2</v>
      </c>
      <c r="EB290" s="5">
        <v>0.208664852124682</v>
      </c>
      <c r="EC290" s="5">
        <v>-0.11212863472028201</v>
      </c>
      <c r="ED290" s="5">
        <v>0.209158786273514</v>
      </c>
      <c r="EE290" s="5">
        <v>-9.88348858099415E-2</v>
      </c>
      <c r="EF290" s="5">
        <v>0.29283853859475101</v>
      </c>
      <c r="EG290" s="5">
        <v>-0.12454410357385499</v>
      </c>
      <c r="EH290" s="5">
        <v>0.44949539074355099</v>
      </c>
      <c r="EI290" s="5">
        <v>-0.27811997909638397</v>
      </c>
      <c r="EJ290" s="5">
        <v>0.37816216833171901</v>
      </c>
      <c r="EK290" s="5">
        <v>-0.20321859306686199</v>
      </c>
      <c r="EL290" s="5">
        <v>0.34477501508302799</v>
      </c>
      <c r="EM290" s="5">
        <v>-0.21900542057491801</v>
      </c>
      <c r="EN290" s="5">
        <v>0.37967905716676098</v>
      </c>
      <c r="EO290" s="5">
        <v>-2.41937121755606E-2</v>
      </c>
      <c r="EP290" s="5">
        <v>0.24422294231536101</v>
      </c>
      <c r="EQ290" s="5">
        <v>-9.6060797988384905E-2</v>
      </c>
      <c r="ER290" s="5">
        <v>0.37378777040810302</v>
      </c>
      <c r="ES290" s="5">
        <v>-0.18633729308121</v>
      </c>
      <c r="ET290" s="5">
        <v>0.33322344878714399</v>
      </c>
      <c r="EU290" s="5">
        <v>-0.17212428069553901</v>
      </c>
      <c r="EV290" s="5">
        <v>0.40641848712290501</v>
      </c>
      <c r="EW290" s="5">
        <v>-0.23949591246046101</v>
      </c>
      <c r="EX290" s="5">
        <v>0.29699329729856</v>
      </c>
      <c r="EY290" s="5">
        <v>-6.7115494946276097E-2</v>
      </c>
      <c r="EZ290" s="5">
        <v>0.36255601977277302</v>
      </c>
      <c r="FA290" s="5">
        <v>-0.18495226832916201</v>
      </c>
      <c r="FB290" s="5">
        <v>0.44038509129291198</v>
      </c>
      <c r="FC290" s="5">
        <v>-0.12709250350120599</v>
      </c>
      <c r="FD290" s="5">
        <v>0.17243594988201699</v>
      </c>
      <c r="FE290" s="5">
        <v>2.5355586449424798E-4</v>
      </c>
      <c r="FF290" s="5">
        <v>0.38052144878865601</v>
      </c>
      <c r="FG290" s="5">
        <v>-7.95477438195656E-2</v>
      </c>
      <c r="FH290" s="5">
        <v>0.20941406082059</v>
      </c>
      <c r="FI290" s="5">
        <v>-7.3673185885738901E-2</v>
      </c>
      <c r="FJ290" s="5">
        <v>0.231686341714891</v>
      </c>
      <c r="FK290" s="5">
        <v>1.9809621331989199E-2</v>
      </c>
      <c r="FL290" s="5">
        <v>0.106693770949465</v>
      </c>
      <c r="FM290" s="5">
        <v>0.11099537141311901</v>
      </c>
      <c r="FN290" s="5">
        <v>0.368883875337776</v>
      </c>
      <c r="FO290" s="5">
        <v>-2.84675776639636E-2</v>
      </c>
      <c r="FP290" s="5">
        <v>0.28270661655435902</v>
      </c>
      <c r="FQ290" s="5">
        <v>1.6350899146548002E-2</v>
      </c>
      <c r="FR290" s="5">
        <v>-1.61885144458657E-2</v>
      </c>
      <c r="FS290" s="5">
        <v>3.5709503272913799E-2</v>
      </c>
      <c r="FT290" s="5">
        <v>0.392847775872954</v>
      </c>
      <c r="FU290" s="5">
        <v>-3.6277225402370099E-2</v>
      </c>
      <c r="FV290" s="5">
        <v>0.54788267679759395</v>
      </c>
      <c r="FW290" s="5">
        <v>-0.25640358929617701</v>
      </c>
      <c r="FX290" s="5">
        <v>0.37002646728026101</v>
      </c>
      <c r="FY290" s="5">
        <v>-0.198280062428104</v>
      </c>
      <c r="FZ290" s="5">
        <v>0.42540242293872699</v>
      </c>
      <c r="GA290" s="5">
        <v>-5.12511943492579E-2</v>
      </c>
      <c r="GB290" s="5">
        <v>0.41720427669828503</v>
      </c>
      <c r="GC290" s="5">
        <v>-6.5994279412318099E-2</v>
      </c>
      <c r="GD290" s="5">
        <v>6.5579932956764203E-2</v>
      </c>
      <c r="GE290" s="5">
        <v>0.102394598793252</v>
      </c>
      <c r="GF290" s="5">
        <v>0.49025342189778798</v>
      </c>
      <c r="GG290" s="5">
        <v>-0.33983602684296199</v>
      </c>
      <c r="GH290" s="5">
        <v>-1.2809137120257099E-2</v>
      </c>
      <c r="GI290" s="5">
        <v>0.16131322322295999</v>
      </c>
      <c r="GJ290" s="5">
        <v>0.31195533077416598</v>
      </c>
      <c r="GK290" s="5">
        <v>-0.192330829791071</v>
      </c>
      <c r="GL290" s="5">
        <v>0.210303895012455</v>
      </c>
      <c r="GM290" s="5">
        <v>-3.6229127588950097E-2</v>
      </c>
      <c r="GN290" s="5">
        <v>0.46892581649667298</v>
      </c>
      <c r="GO290" s="5">
        <v>-0.121385043654984</v>
      </c>
      <c r="GP290" s="5">
        <v>0.26275608194081002</v>
      </c>
      <c r="GQ290" s="5">
        <v>2.44364779425904E-2</v>
      </c>
      <c r="GR290" s="5">
        <v>0.26210452956373798</v>
      </c>
      <c r="GS290" s="5">
        <v>-8.9849145422853896E-2</v>
      </c>
      <c r="GT290" s="5">
        <v>0.46782146525877999</v>
      </c>
      <c r="GU290" s="5">
        <v>-8.5328956317565305E-2</v>
      </c>
      <c r="GV290" s="5">
        <v>0.16140867470269099</v>
      </c>
      <c r="GW290" s="5">
        <v>-8.7582791820866895E-2</v>
      </c>
      <c r="GX290" s="5">
        <v>9.7359651864282595E-2</v>
      </c>
      <c r="GY290" s="5">
        <v>0.194889442012703</v>
      </c>
      <c r="GZ290" s="5">
        <v>3.3991914811738397E-2</v>
      </c>
      <c r="HA290" s="5">
        <v>0.10827482975736701</v>
      </c>
      <c r="HB290" s="5">
        <v>0.406352264496817</v>
      </c>
      <c r="HC290" s="5">
        <v>-0.293032442314557</v>
      </c>
      <c r="HD290" s="5">
        <v>0.39291650800473499</v>
      </c>
      <c r="HE290" s="5">
        <v>2.54864249068249E-2</v>
      </c>
      <c r="HF290" s="5">
        <v>5.0680295235197202E-2</v>
      </c>
      <c r="HG290" s="5">
        <v>9.8768416984111498E-2</v>
      </c>
      <c r="HH290" s="5">
        <v>0.209332778671391</v>
      </c>
      <c r="HI290" s="5">
        <v>4.3342370502568797E-2</v>
      </c>
      <c r="HJ290" s="5">
        <v>1.85248322568555E-2</v>
      </c>
      <c r="HK290" s="5">
        <v>0.11130774939606999</v>
      </c>
      <c r="HL290" s="5">
        <v>0.720840174747444</v>
      </c>
      <c r="HM290" s="5">
        <v>-0.47770734308483098</v>
      </c>
      <c r="HN290" s="5">
        <v>0.34226345397833802</v>
      </c>
      <c r="HO290" s="5">
        <v>-3.7148064494556002E-2</v>
      </c>
      <c r="HP290" s="5">
        <v>0.15253808768274199</v>
      </c>
      <c r="HQ290" s="5">
        <v>0.12621771719810801</v>
      </c>
      <c r="HR290" s="5">
        <v>0.39056063259712298</v>
      </c>
      <c r="HS290" s="5">
        <v>-0.16564384799590501</v>
      </c>
      <c r="HT290" s="5">
        <v>0.34211788452765801</v>
      </c>
      <c r="HU290" s="5">
        <v>3.8152817650311602E-3</v>
      </c>
      <c r="HV290" s="5">
        <v>4.0906291791416499E-2</v>
      </c>
      <c r="HW290" s="5">
        <v>9.9677679503322694E-2</v>
      </c>
      <c r="HX290" s="5">
        <v>0.255502324252533</v>
      </c>
      <c r="HY290" s="5">
        <v>-8.0285531524074999E-2</v>
      </c>
      <c r="HZ290" s="5">
        <v>0.23200161108926301</v>
      </c>
      <c r="IA290" s="5">
        <v>1.7650229803997899E-2</v>
      </c>
      <c r="IB290" s="5">
        <v>-9.9953192739684699E-2</v>
      </c>
      <c r="IC290" s="5">
        <v>0.213578693546909</v>
      </c>
      <c r="ID290" s="5">
        <v>0.24573482347266901</v>
      </c>
      <c r="IE290" s="5">
        <v>-1.38672137666054E-2</v>
      </c>
      <c r="IF290" s="5">
        <v>0.28447938692352398</v>
      </c>
      <c r="IG290" s="5">
        <v>-0.13142651378012099</v>
      </c>
      <c r="IH290" s="5">
        <v>0.33027417791657898</v>
      </c>
      <c r="II290" s="5">
        <v>-0.17405678326858701</v>
      </c>
      <c r="IJ290" s="5">
        <v>0.14151540436392501</v>
      </c>
      <c r="IK290" s="5">
        <v>-1.42367745927693E-2</v>
      </c>
      <c r="IL290" s="5">
        <v>0.32647686055950997</v>
      </c>
      <c r="IM290" s="5">
        <v>-0.123706564669294</v>
      </c>
      <c r="IN290" s="5">
        <v>0.30138240080575501</v>
      </c>
      <c r="IO290" s="5">
        <v>-0.173669021589335</v>
      </c>
      <c r="IP290" s="5">
        <v>0.30522946426402803</v>
      </c>
      <c r="IQ290" s="5">
        <v>-7.9451448041870099E-2</v>
      </c>
      <c r="IR290" s="5">
        <v>0.24382868947217001</v>
      </c>
      <c r="IS290" s="5">
        <v>-4.12383190004669E-2</v>
      </c>
      <c r="IT290" s="5">
        <v>1.08969577618435E-2</v>
      </c>
      <c r="IU290" s="5">
        <v>0.175379985890627</v>
      </c>
      <c r="IV290" s="5">
        <v>4.8249314132653799E-2</v>
      </c>
      <c r="IW290" s="5">
        <v>4.9622172099876197E-2</v>
      </c>
      <c r="IX290" s="5">
        <v>0.34789986702884201</v>
      </c>
      <c r="IY290" s="5">
        <v>-0.20777926708007699</v>
      </c>
      <c r="IZ290" s="5">
        <v>0.206423240485023</v>
      </c>
      <c r="JA290" s="5">
        <v>3.6051683790847201E-2</v>
      </c>
      <c r="JB290" s="5">
        <v>-7.6093563205766296E-2</v>
      </c>
      <c r="JC290" s="5">
        <v>0.16922258963464201</v>
      </c>
      <c r="JD290" s="5">
        <v>0.45099730559310702</v>
      </c>
      <c r="JE290" s="5">
        <v>-4.6744725043967997E-2</v>
      </c>
      <c r="JF290" s="5">
        <v>-1.25224509402192E-2</v>
      </c>
      <c r="JG290" s="5">
        <v>0.108124536974053</v>
      </c>
      <c r="JH290" s="5">
        <v>0.36067670652200201</v>
      </c>
      <c r="JI290" s="5">
        <v>-0.103771695822344</v>
      </c>
      <c r="JJ290" s="5">
        <v>0.463704480570649</v>
      </c>
      <c r="JK290" s="5">
        <v>-0.25032275161108403</v>
      </c>
      <c r="JL290" s="5">
        <v>0.45252649677328399</v>
      </c>
      <c r="JM290" s="5">
        <v>-0.16822579335610699</v>
      </c>
      <c r="JN290" s="5">
        <v>0.27771070749782101</v>
      </c>
      <c r="JO290" s="5">
        <v>-0.12797334840116401</v>
      </c>
      <c r="JP290" s="5">
        <v>0.470502584378654</v>
      </c>
      <c r="JQ290" s="5">
        <v>-0.28476875403025198</v>
      </c>
      <c r="JR290" s="5">
        <v>0.256211759837978</v>
      </c>
      <c r="JS290" s="5">
        <v>-4.3039841310450501E-2</v>
      </c>
      <c r="JT290" s="5">
        <v>0.140998189782367</v>
      </c>
      <c r="JU290" s="5">
        <v>-1.7344164119022398E-2</v>
      </c>
      <c r="JV290" s="5">
        <v>0.28245687026169902</v>
      </c>
      <c r="JW290" s="5">
        <v>-0.13007713944927399</v>
      </c>
      <c r="JX290" s="5">
        <v>0.14382872948391201</v>
      </c>
      <c r="JY290" s="5">
        <v>6.0008679917432001E-2</v>
      </c>
      <c r="JZ290" s="5">
        <v>0.24742411832854599</v>
      </c>
      <c r="KA290" s="5">
        <v>-4.6655804021429402E-2</v>
      </c>
      <c r="KB290" s="5">
        <v>4.3484178069225797E-2</v>
      </c>
      <c r="KC290" s="5">
        <v>0.167521769110614</v>
      </c>
      <c r="KD290" s="5">
        <v>1</v>
      </c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</row>
    <row r="291" spans="1:389" x14ac:dyDescent="0.45">
      <c r="A291" s="4" t="str">
        <f ca="1">"PRT / beta2dist in "&amp;CELL("address",'damages-1990'!$K$146)</f>
        <v>PRT / beta2dist in '[BHM betas v3pd.xlsx]damages-1990'!$K$146</v>
      </c>
      <c r="B291" s="6">
        <v>-0.18540539729914901</v>
      </c>
      <c r="C291" s="5">
        <v>0.228541600804165</v>
      </c>
      <c r="D291" s="5">
        <v>-4.9278555335717601E-2</v>
      </c>
      <c r="E291" s="5">
        <v>0.27038078476053401</v>
      </c>
      <c r="F291" s="5">
        <v>-0.198598254872008</v>
      </c>
      <c r="G291" s="5">
        <v>0.182686623758161</v>
      </c>
      <c r="H291" s="5">
        <v>8.5130623806427302E-2</v>
      </c>
      <c r="I291" s="5">
        <v>-0.230780277438484</v>
      </c>
      <c r="J291" s="5">
        <v>-0.18116540069551401</v>
      </c>
      <c r="K291" s="5">
        <v>0.34788833680457099</v>
      </c>
      <c r="L291" s="5">
        <v>7.0834950570472899E-2</v>
      </c>
      <c r="M291" s="5">
        <v>-5.2241499151253597E-2</v>
      </c>
      <c r="N291" s="5">
        <v>-0.13986154827670599</v>
      </c>
      <c r="O291" s="5">
        <v>4.5499873518624299E-2</v>
      </c>
      <c r="P291" s="5">
        <v>-0.17159175871916699</v>
      </c>
      <c r="Q291" s="5">
        <v>0.18644972521859501</v>
      </c>
      <c r="R291" s="5">
        <v>-5.4924884753942999E-2</v>
      </c>
      <c r="S291" s="5">
        <v>0.22187184730559101</v>
      </c>
      <c r="T291" s="5">
        <v>-5.8685434676717302E-2</v>
      </c>
      <c r="U291" s="5">
        <v>-1.52585293345951E-2</v>
      </c>
      <c r="V291" s="5">
        <v>-4.6328979392629498E-2</v>
      </c>
      <c r="W291" s="5">
        <v>-2.79796906217534E-2</v>
      </c>
      <c r="X291" s="5">
        <v>-0.105546826458165</v>
      </c>
      <c r="Y291" s="5">
        <v>0.27954202710057402</v>
      </c>
      <c r="Z291" s="5">
        <v>-9.6988111995113396E-2</v>
      </c>
      <c r="AA291" s="5">
        <v>1.9016159540769802E-2</v>
      </c>
      <c r="AB291" s="5">
        <v>8.5603615142579803E-2</v>
      </c>
      <c r="AC291" s="5">
        <v>9.3576730974154407E-2</v>
      </c>
      <c r="AD291" s="5">
        <v>0.11261551053009899</v>
      </c>
      <c r="AE291" s="5">
        <v>7.1521052800465695E-2</v>
      </c>
      <c r="AF291" s="5">
        <v>0.21515070808373299</v>
      </c>
      <c r="AG291" s="5">
        <v>-0.130761342637986</v>
      </c>
      <c r="AH291" s="5">
        <v>-0.16082984904727901</v>
      </c>
      <c r="AI291" s="5">
        <v>0.113682597699993</v>
      </c>
      <c r="AJ291" s="5">
        <v>-0.14503504897092501</v>
      </c>
      <c r="AK291" s="5">
        <v>0.22624723756906601</v>
      </c>
      <c r="AL291" s="5">
        <v>1.1924435720488199E-2</v>
      </c>
      <c r="AM291" s="5">
        <v>5.0404492662425103E-2</v>
      </c>
      <c r="AN291" s="5">
        <v>-0.17458107160480901</v>
      </c>
      <c r="AO291" s="5">
        <v>0.119646219861443</v>
      </c>
      <c r="AP291" s="5">
        <v>-9.0354639750975102E-2</v>
      </c>
      <c r="AQ291" s="5">
        <v>3.5835400956403099E-2</v>
      </c>
      <c r="AR291" s="5">
        <v>-6.1580001632912801E-2</v>
      </c>
      <c r="AS291" s="5">
        <v>0.17330828294752801</v>
      </c>
      <c r="AT291" s="5">
        <v>8.9856130662404804E-2</v>
      </c>
      <c r="AU291" s="5">
        <v>-5.9768840178564001E-2</v>
      </c>
      <c r="AV291" s="5">
        <v>2.9401413013010899E-2</v>
      </c>
      <c r="AW291" s="5">
        <v>7.6725280408212193E-2</v>
      </c>
      <c r="AX291" s="5">
        <v>-3.5466309287431302E-2</v>
      </c>
      <c r="AY291" s="5">
        <v>0.210302179602777</v>
      </c>
      <c r="AZ291" s="5">
        <v>-0.16940862281836799</v>
      </c>
      <c r="BA291" s="5">
        <v>0.20749663108166</v>
      </c>
      <c r="BB291" s="5">
        <v>-6.3885237605162307E-2</v>
      </c>
      <c r="BC291" s="5">
        <v>0.26740678985305699</v>
      </c>
      <c r="BD291" s="5">
        <v>-0.125865518824989</v>
      </c>
      <c r="BE291" s="5">
        <v>9.9981484900252507E-2</v>
      </c>
      <c r="BF291" s="5">
        <v>6.9339072552312794E-2</v>
      </c>
      <c r="BG291" s="5">
        <v>3.5672978355698298E-2</v>
      </c>
      <c r="BH291" s="5">
        <v>3.4421320953095099E-3</v>
      </c>
      <c r="BI291" s="5">
        <v>0.20665028216751699</v>
      </c>
      <c r="BJ291" s="5">
        <v>7.4164085645879799E-3</v>
      </c>
      <c r="BK291" s="5">
        <v>-0.18994971437149</v>
      </c>
      <c r="BL291" s="5">
        <v>-3.3931967500183298E-2</v>
      </c>
      <c r="BM291" s="5">
        <v>-5.9282105597804398E-2</v>
      </c>
      <c r="BN291" s="5">
        <v>-0.115809194242841</v>
      </c>
      <c r="BO291" s="5">
        <v>-1.9343314304423501E-2</v>
      </c>
      <c r="BP291" s="5">
        <v>-0.12099002527792201</v>
      </c>
      <c r="BQ291" s="5">
        <v>-2.47783452316843E-2</v>
      </c>
      <c r="BR291" s="5">
        <v>-5.0730025399066903E-2</v>
      </c>
      <c r="BS291" s="5">
        <v>0.250670082795931</v>
      </c>
      <c r="BT291" s="5">
        <v>4.2789996648403002E-2</v>
      </c>
      <c r="BU291" s="5">
        <v>0.16272984310368599</v>
      </c>
      <c r="BV291" s="5">
        <v>-9.4379880297964999E-2</v>
      </c>
      <c r="BW291" s="5">
        <v>0.32599192761497597</v>
      </c>
      <c r="BX291" s="5">
        <v>-1.83398101814202E-2</v>
      </c>
      <c r="BY291" s="5">
        <v>0.22236223167595301</v>
      </c>
      <c r="BZ291" s="5">
        <v>-0.13178705184081399</v>
      </c>
      <c r="CA291" s="5">
        <v>0.34231108468189397</v>
      </c>
      <c r="CB291" s="5">
        <v>3.7942676138794103E-2</v>
      </c>
      <c r="CC291" s="5">
        <v>3.6347322282826701E-2</v>
      </c>
      <c r="CD291" s="5">
        <v>-0.33926001974977099</v>
      </c>
      <c r="CE291" s="5">
        <v>0.378196796446782</v>
      </c>
      <c r="CF291" s="5">
        <v>-0.12376306546485399</v>
      </c>
      <c r="CG291" s="5">
        <v>0.20888808299109399</v>
      </c>
      <c r="CH291" s="5">
        <v>5.4268391392555501E-2</v>
      </c>
      <c r="CI291" s="5">
        <v>-1.5196096569700701E-2</v>
      </c>
      <c r="CJ291" s="5">
        <v>-8.0743502729596003E-2</v>
      </c>
      <c r="CK291" s="5">
        <v>0.121259524204247</v>
      </c>
      <c r="CL291" s="5">
        <v>-8.4921883291481606E-2</v>
      </c>
      <c r="CM291" s="5">
        <v>1.3493667926644101E-2</v>
      </c>
      <c r="CN291" s="5">
        <v>-0.10086097624472</v>
      </c>
      <c r="CO291" s="5">
        <v>2.2963442327135201E-2</v>
      </c>
      <c r="CP291" s="5">
        <v>-0.27578284559029498</v>
      </c>
      <c r="CQ291" s="5">
        <v>0.38139525246174799</v>
      </c>
      <c r="CR291" s="5">
        <v>-0.20373228188475301</v>
      </c>
      <c r="CS291" s="5">
        <v>0.22947764013536501</v>
      </c>
      <c r="CT291" s="5">
        <v>-5.3391074641959302E-2</v>
      </c>
      <c r="CU291" s="5">
        <v>-1.7591945452212501E-2</v>
      </c>
      <c r="CV291" s="5">
        <v>-1.8110098223454E-2</v>
      </c>
      <c r="CW291" s="5">
        <v>4.1287593285379502E-2</v>
      </c>
      <c r="CX291" s="5">
        <v>0.1383504551735</v>
      </c>
      <c r="CY291" s="5">
        <v>-4.8657018889439498E-2</v>
      </c>
      <c r="CZ291" s="5">
        <v>-0.129943717886741</v>
      </c>
      <c r="DA291" s="5">
        <v>0.26765718366398999</v>
      </c>
      <c r="DB291" s="5">
        <v>5.8096084827573197E-2</v>
      </c>
      <c r="DC291" s="5">
        <v>-4.54952342508586E-2</v>
      </c>
      <c r="DD291" s="5">
        <v>-9.8175987192176198E-2</v>
      </c>
      <c r="DE291" s="5">
        <v>0.21233665410491401</v>
      </c>
      <c r="DF291" s="5">
        <v>-0.35418262961210101</v>
      </c>
      <c r="DG291" s="5">
        <v>0.48848597319128001</v>
      </c>
      <c r="DH291" s="5">
        <v>-0.52839871764648105</v>
      </c>
      <c r="DI291" s="5">
        <v>0.69632400336681899</v>
      </c>
      <c r="DJ291" s="5">
        <v>-4.07587519945296E-2</v>
      </c>
      <c r="DK291" s="5">
        <v>-1.8513503837519402E-2</v>
      </c>
      <c r="DL291" s="5">
        <v>-0.30527441537698602</v>
      </c>
      <c r="DM291" s="5">
        <v>0.47725394327915199</v>
      </c>
      <c r="DN291" s="5">
        <v>3.07480545322549E-2</v>
      </c>
      <c r="DO291" s="5">
        <v>-0.12105861715832</v>
      </c>
      <c r="DP291" s="5">
        <v>0.16578808908110701</v>
      </c>
      <c r="DQ291" s="5">
        <v>-0.13149674701111499</v>
      </c>
      <c r="DR291" s="5">
        <v>-0.20498020130314601</v>
      </c>
      <c r="DS291" s="5">
        <v>0.176161547582845</v>
      </c>
      <c r="DT291" s="5">
        <v>-0.148795662415936</v>
      </c>
      <c r="DU291" s="5">
        <v>0.20361315307813799</v>
      </c>
      <c r="DV291" s="5">
        <v>-1.97579658107635E-2</v>
      </c>
      <c r="DW291" s="5">
        <v>0.18085902063331499</v>
      </c>
      <c r="DX291" s="5">
        <v>9.9993518931020195E-3</v>
      </c>
      <c r="DY291" s="5">
        <v>-0.108425787259418</v>
      </c>
      <c r="DZ291" s="5">
        <v>-0.123098746547781</v>
      </c>
      <c r="EA291" s="5">
        <v>2.9296793060761599E-2</v>
      </c>
      <c r="EB291" s="5">
        <v>-2.9388224826927201E-2</v>
      </c>
      <c r="EC291" s="5">
        <v>0.214010266784353</v>
      </c>
      <c r="ED291" s="5">
        <v>-1.0031419747798399E-2</v>
      </c>
      <c r="EE291" s="5">
        <v>0.21080392264284301</v>
      </c>
      <c r="EF291" s="5">
        <v>-0.198320232914142</v>
      </c>
      <c r="EG291" s="5">
        <v>0.213585639510319</v>
      </c>
      <c r="EH291" s="5">
        <v>-0.239036577129315</v>
      </c>
      <c r="EI291" s="5">
        <v>0.38606916504821098</v>
      </c>
      <c r="EJ291" s="5">
        <v>-0.178329396524569</v>
      </c>
      <c r="EK291" s="5">
        <v>0.32418410779393497</v>
      </c>
      <c r="EL291" s="5">
        <v>-6.7408767844455306E-2</v>
      </c>
      <c r="EM291" s="5">
        <v>0.24007574772024801</v>
      </c>
      <c r="EN291" s="5">
        <v>-9.9668713408747098E-2</v>
      </c>
      <c r="EO291" s="5">
        <v>9.1254258707613001E-2</v>
      </c>
      <c r="EP291" s="5">
        <v>-0.116720196377334</v>
      </c>
      <c r="EQ291" s="5">
        <v>0.16467195902763301</v>
      </c>
      <c r="ER291" s="5">
        <v>-4.8857383350369002E-2</v>
      </c>
      <c r="ES291" s="5">
        <v>0.175446346619616</v>
      </c>
      <c r="ET291" s="5">
        <v>9.2150821320489008E-3</v>
      </c>
      <c r="EU291" s="5">
        <v>0.101455953173764</v>
      </c>
      <c r="EV291" s="5">
        <v>-9.1816149699807795E-2</v>
      </c>
      <c r="EW291" s="5">
        <v>0.22393680301442401</v>
      </c>
      <c r="EX291" s="5">
        <v>0.13001511046973199</v>
      </c>
      <c r="EY291" s="5">
        <v>-0.125371678599768</v>
      </c>
      <c r="EZ291" s="5">
        <v>-5.48819078118645E-2</v>
      </c>
      <c r="FA291" s="5">
        <v>0.200290952460175</v>
      </c>
      <c r="FB291" s="5">
        <v>-0.22092215091074599</v>
      </c>
      <c r="FC291" s="5">
        <v>0.205021112403387</v>
      </c>
      <c r="FD291" s="5">
        <v>-2.0487250248443101E-2</v>
      </c>
      <c r="FE291" s="5">
        <v>7.4801031245534694E-2</v>
      </c>
      <c r="FF291" s="5">
        <v>-0.19890543785866199</v>
      </c>
      <c r="FG291" s="5">
        <v>0.15839520934731299</v>
      </c>
      <c r="FH291" s="5">
        <v>0.17820211207741399</v>
      </c>
      <c r="FI291" s="5">
        <v>-8.2719402636495104E-2</v>
      </c>
      <c r="FJ291" s="5">
        <v>0.115439344393151</v>
      </c>
      <c r="FK291" s="5">
        <v>-1.07079981885177E-4</v>
      </c>
      <c r="FL291" s="5">
        <v>-7.5279530386239404E-3</v>
      </c>
      <c r="FM291" s="5">
        <v>-7.2891153541321696E-2</v>
      </c>
      <c r="FN291" s="5">
        <v>-4.8314022039941298E-2</v>
      </c>
      <c r="FO291" s="5">
        <v>0.11680479586812299</v>
      </c>
      <c r="FP291" s="5">
        <v>2.2199302902132099E-2</v>
      </c>
      <c r="FQ291" s="5">
        <v>2.5762359200075299E-2</v>
      </c>
      <c r="FR291" s="5">
        <v>8.4919486612137392E-3</v>
      </c>
      <c r="FS291" s="5">
        <v>-2.6302517559153499E-2</v>
      </c>
      <c r="FT291" s="5">
        <v>-7.7900323837325702E-2</v>
      </c>
      <c r="FU291" s="5">
        <v>0.113079141621545</v>
      </c>
      <c r="FV291" s="5">
        <v>-0.248428222981568</v>
      </c>
      <c r="FW291" s="5">
        <v>0.30733898642766899</v>
      </c>
      <c r="FX291" s="5">
        <v>-0.180986424544888</v>
      </c>
      <c r="FY291" s="5">
        <v>0.23688364839468001</v>
      </c>
      <c r="FZ291" s="5">
        <v>-0.103117857426975</v>
      </c>
      <c r="GA291" s="5">
        <v>0.14560685615214</v>
      </c>
      <c r="GB291" s="5">
        <v>-0.18698429142032899</v>
      </c>
      <c r="GC291" s="5">
        <v>0.17477062813017399</v>
      </c>
      <c r="GD291" s="5">
        <v>-5.88511846106161E-2</v>
      </c>
      <c r="GE291" s="5">
        <v>-7.7649342380292996E-3</v>
      </c>
      <c r="GF291" s="5">
        <v>-0.26319731854654999</v>
      </c>
      <c r="GG291" s="5">
        <v>0.46724053778018299</v>
      </c>
      <c r="GH291" s="5">
        <v>2.2305963646090901E-2</v>
      </c>
      <c r="GI291" s="5">
        <v>-0.20386962250146201</v>
      </c>
      <c r="GJ291" s="5">
        <v>2.6993459806691902E-2</v>
      </c>
      <c r="GK291" s="5">
        <v>0.124183791073071</v>
      </c>
      <c r="GL291" s="5">
        <v>-0.12656620113789899</v>
      </c>
      <c r="GM291" s="5">
        <v>0.130686858485629</v>
      </c>
      <c r="GN291" s="5">
        <v>-0.22603148667214901</v>
      </c>
      <c r="GO291" s="5">
        <v>0.24901635325052399</v>
      </c>
      <c r="GP291" s="5">
        <v>4.45419974277887E-2</v>
      </c>
      <c r="GQ291" s="5">
        <v>-3.7080713161594301E-3</v>
      </c>
      <c r="GR291" s="5">
        <v>0.10079401126575301</v>
      </c>
      <c r="GS291" s="5">
        <v>-3.8021540033528999E-3</v>
      </c>
      <c r="GT291" s="5">
        <v>-0.15078815198734899</v>
      </c>
      <c r="GU291" s="5">
        <v>0.15332186894451599</v>
      </c>
      <c r="GV291" s="5">
        <v>-6.9739662122118906E-2</v>
      </c>
      <c r="GW291" s="5">
        <v>0.24527194391278201</v>
      </c>
      <c r="GX291" s="5">
        <v>0.235800595039205</v>
      </c>
      <c r="GY291" s="5">
        <v>-0.22579630632533301</v>
      </c>
      <c r="GZ291" s="5">
        <v>-3.3239842510156201E-2</v>
      </c>
      <c r="HA291" s="5">
        <v>-5.4305733872562101E-2</v>
      </c>
      <c r="HB291" s="5">
        <v>-0.18653830321258599</v>
      </c>
      <c r="HC291" s="5">
        <v>0.37180339761197501</v>
      </c>
      <c r="HD291" s="5">
        <v>-9.8089902557586206E-2</v>
      </c>
      <c r="HE291" s="5">
        <v>8.3470427454426094E-2</v>
      </c>
      <c r="HF291" s="5">
        <v>-5.8663757876634401E-2</v>
      </c>
      <c r="HG291" s="5">
        <v>-2.4560538938166602E-3</v>
      </c>
      <c r="HH291" s="5">
        <v>-9.9753826614381202E-2</v>
      </c>
      <c r="HI291" s="5">
        <v>2.28345919252727E-2</v>
      </c>
      <c r="HJ291" s="5">
        <v>-4.5769275762940001E-2</v>
      </c>
      <c r="HK291" s="5">
        <v>-1.1085690843947201E-2</v>
      </c>
      <c r="HL291" s="5">
        <v>-0.42257992935281502</v>
      </c>
      <c r="HM291" s="5">
        <v>0.57504722598185898</v>
      </c>
      <c r="HN291" s="5">
        <v>-0.16434191661297301</v>
      </c>
      <c r="HO291" s="5">
        <v>0.10103690100494001</v>
      </c>
      <c r="HP291" s="5">
        <v>0.18307604676240799</v>
      </c>
      <c r="HQ291" s="5">
        <v>-9.1690936427119896E-2</v>
      </c>
      <c r="HR291" s="5">
        <v>2.3182723416327999E-2</v>
      </c>
      <c r="HS291" s="5">
        <v>0.10570670044349301</v>
      </c>
      <c r="HT291" s="5">
        <v>-0.180853101301617</v>
      </c>
      <c r="HU291" s="5">
        <v>0.13530842202305701</v>
      </c>
      <c r="HV291" s="5">
        <v>0.22137263374815899</v>
      </c>
      <c r="HW291" s="5">
        <v>-7.1289944242426795E-2</v>
      </c>
      <c r="HX291" s="5">
        <v>9.1915756057368403E-2</v>
      </c>
      <c r="HY291" s="5">
        <v>6.7843442809641594E-2</v>
      </c>
      <c r="HZ291" s="5">
        <v>-0.152975447367134</v>
      </c>
      <c r="IA291" s="5">
        <v>8.0641731731365504E-2</v>
      </c>
      <c r="IB291" s="5">
        <v>6.3052801045233604E-3</v>
      </c>
      <c r="IC291" s="5">
        <v>-0.13932751815814801</v>
      </c>
      <c r="ID291" s="5">
        <v>2.70392762179954E-2</v>
      </c>
      <c r="IE291" s="5">
        <v>0.13437049107798901</v>
      </c>
      <c r="IF291" s="5">
        <v>-1.86844630248389E-2</v>
      </c>
      <c r="IG291" s="5">
        <v>0.187426884058879</v>
      </c>
      <c r="IH291" s="5">
        <v>-0.209695399380806</v>
      </c>
      <c r="II291" s="5">
        <v>0.24479487617832499</v>
      </c>
      <c r="IJ291" s="5">
        <v>5.88825522936565E-2</v>
      </c>
      <c r="IK291" s="5">
        <v>-4.0471301145852297E-2</v>
      </c>
      <c r="IL291" s="5">
        <v>-5.8207694944780897E-2</v>
      </c>
      <c r="IM291" s="5">
        <v>0.26192666804300901</v>
      </c>
      <c r="IN291" s="5">
        <v>6.7369393924729307E-2</v>
      </c>
      <c r="IO291" s="5">
        <v>0.110749310844588</v>
      </c>
      <c r="IP291" s="5">
        <v>3.1389480789655103E-2</v>
      </c>
      <c r="IQ291" s="5">
        <v>0.104230980577574</v>
      </c>
      <c r="IR291" s="5">
        <v>-7.03763213588505E-3</v>
      </c>
      <c r="IS291" s="5">
        <v>3.3384519014506002E-2</v>
      </c>
      <c r="IT291" s="5">
        <v>0.26878254934914703</v>
      </c>
      <c r="IU291" s="5">
        <v>-0.15745363886904101</v>
      </c>
      <c r="IV291" s="5">
        <v>7.69599036594317E-2</v>
      </c>
      <c r="IW291" s="5">
        <v>9.3604904185842205E-2</v>
      </c>
      <c r="IX291" s="5">
        <v>-0.102420181670819</v>
      </c>
      <c r="IY291" s="5">
        <v>0.25220882614058499</v>
      </c>
      <c r="IZ291" s="5">
        <v>-7.5388278564517602E-2</v>
      </c>
      <c r="JA291" s="5">
        <v>-2.0118372924229802E-3</v>
      </c>
      <c r="JB291" s="5">
        <v>-2.28445509344724E-2</v>
      </c>
      <c r="JC291" s="5">
        <v>-6.8791007386729802E-2</v>
      </c>
      <c r="JD291" s="5">
        <v>-9.0171629326471395E-2</v>
      </c>
      <c r="JE291" s="5">
        <v>0.11712406385329301</v>
      </c>
      <c r="JF291" s="5">
        <v>0.24035485376235199</v>
      </c>
      <c r="JG291" s="5">
        <v>-0.18783561554664799</v>
      </c>
      <c r="JH291" s="5">
        <v>-0.13625133673315301</v>
      </c>
      <c r="JI291" s="5">
        <v>9.1072547468825996E-2</v>
      </c>
      <c r="JJ291" s="5">
        <v>-0.20798607928539201</v>
      </c>
      <c r="JK291" s="5">
        <v>0.40025617719223799</v>
      </c>
      <c r="JL291" s="5">
        <v>-0.14453366488080399</v>
      </c>
      <c r="JM291" s="5">
        <v>0.25673685428104598</v>
      </c>
      <c r="JN291" s="5">
        <v>-0.117958828903676</v>
      </c>
      <c r="JO291" s="5">
        <v>0.20606297151991301</v>
      </c>
      <c r="JP291" s="5">
        <v>-0.12636446020990499</v>
      </c>
      <c r="JQ291" s="5">
        <v>0.31202100887815798</v>
      </c>
      <c r="JR291" s="5">
        <v>8.4601365874146406E-2</v>
      </c>
      <c r="JS291" s="5">
        <v>1.0073663308673399E-2</v>
      </c>
      <c r="JT291" s="5">
        <v>5.1484273626066397E-2</v>
      </c>
      <c r="JU291" s="5">
        <v>1.9512928020386601E-2</v>
      </c>
      <c r="JV291" s="5">
        <v>5.7805873861410999E-2</v>
      </c>
      <c r="JW291" s="5">
        <v>0.13862509180395099</v>
      </c>
      <c r="JX291" s="5">
        <v>-8.3337841036819696E-2</v>
      </c>
      <c r="JY291" s="5">
        <v>1.1082187042231901E-2</v>
      </c>
      <c r="JZ291" s="5">
        <v>-0.16669773804976501</v>
      </c>
      <c r="KA291" s="5">
        <v>0.15516380555424999</v>
      </c>
      <c r="KB291" s="5">
        <v>-9.2668739009342693E-2</v>
      </c>
      <c r="KC291" s="5">
        <v>-2.1812738303106899E-2</v>
      </c>
      <c r="KD291" s="5">
        <v>-0.79336159523942196</v>
      </c>
      <c r="KE291" s="5">
        <v>1</v>
      </c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</row>
    <row r="292" spans="1:389" x14ac:dyDescent="0.45">
      <c r="A292" s="4" t="str">
        <f ca="1">"PRY / beta1dist in "&amp;CELL("address",'damages-1990'!$J$147)</f>
        <v>PRY / beta1dist in '[BHM betas v3pd.xlsx]damages-1990'!$J$147</v>
      </c>
      <c r="B292" s="6">
        <v>0.145203703767248</v>
      </c>
      <c r="C292" s="5">
        <v>0.24373501804911499</v>
      </c>
      <c r="D292" s="5">
        <v>0.42173528955348499</v>
      </c>
      <c r="E292" s="5">
        <v>4.2937038908595702E-2</v>
      </c>
      <c r="F292" s="5">
        <v>9.3351830727435095E-2</v>
      </c>
      <c r="G292" s="5">
        <v>0.14004437358708499</v>
      </c>
      <c r="H292" s="5">
        <v>-0.179156017146237</v>
      </c>
      <c r="I292" s="5">
        <v>0.117030511366766</v>
      </c>
      <c r="J292" s="5">
        <v>0.56371221828172902</v>
      </c>
      <c r="K292" s="5">
        <v>-0.18546728841533999</v>
      </c>
      <c r="L292" s="5">
        <v>0.49283733043568301</v>
      </c>
      <c r="M292" s="5">
        <v>-0.181895949174987</v>
      </c>
      <c r="N292" s="5">
        <v>-0.23263310141815399</v>
      </c>
      <c r="O292" s="5">
        <v>0.26811329663011202</v>
      </c>
      <c r="P292" s="5">
        <v>1.4528867871679301E-2</v>
      </c>
      <c r="Q292" s="5">
        <v>0.16405488836135099</v>
      </c>
      <c r="R292" s="5">
        <v>0.51665666771886898</v>
      </c>
      <c r="S292" s="5">
        <v>-8.9309679057256106E-2</v>
      </c>
      <c r="T292" s="5">
        <v>-0.13489145291749899</v>
      </c>
      <c r="U292" s="5">
        <v>0.14398111549051801</v>
      </c>
      <c r="V292" s="5">
        <v>0.14938367153569901</v>
      </c>
      <c r="W292" s="5">
        <v>0.24137420506775001</v>
      </c>
      <c r="X292" s="5">
        <v>0.37089350788986503</v>
      </c>
      <c r="Y292" s="5">
        <v>3.7821060014355999E-2</v>
      </c>
      <c r="Z292" s="5">
        <v>-5.0870683010699198E-2</v>
      </c>
      <c r="AA292" s="5">
        <v>0.13403429656392399</v>
      </c>
      <c r="AB292" s="5">
        <v>0.56272404508276697</v>
      </c>
      <c r="AC292" s="5">
        <v>-0.21168401176626001</v>
      </c>
      <c r="AD292" s="5">
        <v>0.51736060098168002</v>
      </c>
      <c r="AE292" s="5">
        <v>-0.13755772535212399</v>
      </c>
      <c r="AF292" s="5">
        <v>0.35369786968842498</v>
      </c>
      <c r="AG292" s="5">
        <v>-3.27484404572599E-2</v>
      </c>
      <c r="AH292" s="5">
        <v>2.6711763588764401E-2</v>
      </c>
      <c r="AI292" s="5">
        <v>0.16716481108320599</v>
      </c>
      <c r="AJ292" s="5">
        <v>0.53378459951257196</v>
      </c>
      <c r="AK292" s="5">
        <v>-0.19135489488687599</v>
      </c>
      <c r="AL292" s="5">
        <v>0.48242495706676097</v>
      </c>
      <c r="AM292" s="5">
        <v>-0.31291646208866802</v>
      </c>
      <c r="AN292" s="5">
        <v>-7.4715999910659303E-2</v>
      </c>
      <c r="AO292" s="5">
        <v>0.19222298365164001</v>
      </c>
      <c r="AP292" s="5">
        <v>-0.127344615488823</v>
      </c>
      <c r="AQ292" s="5">
        <v>0.153400315562262</v>
      </c>
      <c r="AR292" s="5">
        <v>0.58450468676399603</v>
      </c>
      <c r="AS292" s="5">
        <v>-0.29209912282483502</v>
      </c>
      <c r="AT292" s="5">
        <v>0.43253696944812298</v>
      </c>
      <c r="AU292" s="5">
        <v>-0.24401586666859201</v>
      </c>
      <c r="AV292" s="5">
        <v>0.66914084391181705</v>
      </c>
      <c r="AW292" s="5">
        <v>-0.31158652247449298</v>
      </c>
      <c r="AX292" s="5">
        <v>0.64299267187732301</v>
      </c>
      <c r="AY292" s="5">
        <v>-0.272293727140139</v>
      </c>
      <c r="AZ292" s="5">
        <v>0.20600807645324001</v>
      </c>
      <c r="BA292" s="5">
        <v>-4.64565350960367E-2</v>
      </c>
      <c r="BB292" s="5">
        <v>0.42664344469277798</v>
      </c>
      <c r="BC292" s="5">
        <v>3.2174425831310402E-2</v>
      </c>
      <c r="BD292" s="5">
        <v>6.5909306648470403E-2</v>
      </c>
      <c r="BE292" s="5">
        <v>0.26437402215773997</v>
      </c>
      <c r="BF292" s="5">
        <v>0.42561264117883801</v>
      </c>
      <c r="BG292" s="5">
        <v>-6.9226621259665194E-2</v>
      </c>
      <c r="BH292" s="5">
        <v>0.49300729505528001</v>
      </c>
      <c r="BI292" s="5">
        <v>-7.8206594574535895E-2</v>
      </c>
      <c r="BJ292" s="5">
        <v>-0.26215467243399598</v>
      </c>
      <c r="BK292" s="5">
        <v>0.120838918042773</v>
      </c>
      <c r="BL292" s="5">
        <v>-0.15460268218666801</v>
      </c>
      <c r="BM292" s="5">
        <v>0.134703796606951</v>
      </c>
      <c r="BN292" s="5">
        <v>-0.22897073745226401</v>
      </c>
      <c r="BO292" s="5">
        <v>0.30023611861858301</v>
      </c>
      <c r="BP292" s="5">
        <v>-0.15950270934217101</v>
      </c>
      <c r="BQ292" s="5">
        <v>0.23491663612983399</v>
      </c>
      <c r="BR292" s="5">
        <v>0.44622170236650799</v>
      </c>
      <c r="BS292" s="5">
        <v>-0.105221358156927</v>
      </c>
      <c r="BT292" s="5">
        <v>0.60181108086673896</v>
      </c>
      <c r="BU292" s="5">
        <v>-0.20506866575444699</v>
      </c>
      <c r="BV292" s="5">
        <v>0.53052295255024595</v>
      </c>
      <c r="BW292" s="5">
        <v>-0.104619109475468</v>
      </c>
      <c r="BX292" s="5">
        <v>0.52796598225980595</v>
      </c>
      <c r="BY292" s="5">
        <v>-0.16219464201427</v>
      </c>
      <c r="BZ292" s="5">
        <v>0.56034621756270997</v>
      </c>
      <c r="CA292" s="5">
        <v>-0.15073947632635901</v>
      </c>
      <c r="CB292" s="5">
        <v>0.35006393326046198</v>
      </c>
      <c r="CC292" s="5">
        <v>-0.10905495973031</v>
      </c>
      <c r="CD292" s="5">
        <v>1.8875742386928499E-3</v>
      </c>
      <c r="CE292" s="5">
        <v>0.230460164938212</v>
      </c>
      <c r="CF292" s="5">
        <v>0.425547291583103</v>
      </c>
      <c r="CG292" s="5">
        <v>-0.127971456405407</v>
      </c>
      <c r="CH292" s="5">
        <v>0.46109211675023798</v>
      </c>
      <c r="CI292" s="5">
        <v>-0.32071197048501199</v>
      </c>
      <c r="CJ292" s="5">
        <v>0.14591023766068101</v>
      </c>
      <c r="CK292" s="5">
        <v>8.0733942348688997E-2</v>
      </c>
      <c r="CL292" s="5">
        <v>-8.1850239074166706E-2</v>
      </c>
      <c r="CM292" s="5">
        <v>0.13062962908303399</v>
      </c>
      <c r="CN292" s="5">
        <v>-6.5233752997529704E-2</v>
      </c>
      <c r="CO292" s="5">
        <v>0.12515959843963101</v>
      </c>
      <c r="CP292" s="5">
        <v>0.34427069740965799</v>
      </c>
      <c r="CQ292" s="5">
        <v>-4.7201051846594302E-2</v>
      </c>
      <c r="CR292" s="5">
        <v>1.2018111677311399E-2</v>
      </c>
      <c r="CS292" s="5">
        <v>0.16900130181804601</v>
      </c>
      <c r="CT292" s="5">
        <v>-3.1135267599459001E-2</v>
      </c>
      <c r="CU292" s="5">
        <v>2.6602197081988799E-2</v>
      </c>
      <c r="CV292" s="5">
        <v>0.424081472929834</v>
      </c>
      <c r="CW292" s="5">
        <v>-0.215711975932325</v>
      </c>
      <c r="CX292" s="5">
        <v>0.62277867827162003</v>
      </c>
      <c r="CY292" s="5">
        <v>-0.27455735971198802</v>
      </c>
      <c r="CZ292" s="5">
        <v>0.43963007161871298</v>
      </c>
      <c r="DA292" s="5">
        <v>-6.4772075764890399E-2</v>
      </c>
      <c r="DB292" s="5">
        <v>0.429044801695245</v>
      </c>
      <c r="DC292" s="5">
        <v>-5.7274581989256203E-2</v>
      </c>
      <c r="DD292" s="5">
        <v>0.36661973067190201</v>
      </c>
      <c r="DE292" s="5">
        <v>-3.1679345022413798E-2</v>
      </c>
      <c r="DF292" s="5">
        <v>0.32993640239198802</v>
      </c>
      <c r="DG292" s="5">
        <v>1.91387631405989E-2</v>
      </c>
      <c r="DH292" s="5">
        <v>0.15707479047679099</v>
      </c>
      <c r="DI292" s="5">
        <v>0.159761007779155</v>
      </c>
      <c r="DJ292" s="5">
        <v>-0.106129718140945</v>
      </c>
      <c r="DK292" s="5">
        <v>9.3735098659007796E-2</v>
      </c>
      <c r="DL292" s="5">
        <v>0.33416182399911198</v>
      </c>
      <c r="DM292" s="5">
        <v>6.6547452286152095E-2</v>
      </c>
      <c r="DN292" s="5">
        <v>-0.20592601144047501</v>
      </c>
      <c r="DO292" s="5">
        <v>0.14140667675004701</v>
      </c>
      <c r="DP292" s="5">
        <v>0.53909810894759502</v>
      </c>
      <c r="DQ292" s="5">
        <v>-0.322037396678579</v>
      </c>
      <c r="DR292" s="5">
        <v>2.45511252572474E-2</v>
      </c>
      <c r="DS292" s="5">
        <v>0.14839877924154601</v>
      </c>
      <c r="DT292" s="5">
        <v>0.29632062074439403</v>
      </c>
      <c r="DU292" s="5">
        <v>-9.1650341997628101E-2</v>
      </c>
      <c r="DV292" s="5">
        <v>0.38041935149467299</v>
      </c>
      <c r="DW292" s="5">
        <v>-6.9332028943646901E-2</v>
      </c>
      <c r="DX292" s="5">
        <v>-6.7549468275864694E-2</v>
      </c>
      <c r="DY292" s="5">
        <v>6.7957010936692902E-2</v>
      </c>
      <c r="DZ292" s="5">
        <v>-0.186065152712758</v>
      </c>
      <c r="EA292" s="5">
        <v>0.249793837346031</v>
      </c>
      <c r="EB292" s="5">
        <v>0.54608198974238198</v>
      </c>
      <c r="EC292" s="5">
        <v>-0.175922498459916</v>
      </c>
      <c r="ED292" s="5">
        <v>0.55538181519069596</v>
      </c>
      <c r="EE292" s="5">
        <v>-0.15350497409077199</v>
      </c>
      <c r="EF292" s="5">
        <v>-5.4934734376115501E-4</v>
      </c>
      <c r="EG292" s="5">
        <v>0.171176509358616</v>
      </c>
      <c r="EH292" s="5">
        <v>0.46577570224930198</v>
      </c>
      <c r="EI292" s="5">
        <v>-6.7074849671044004E-2</v>
      </c>
      <c r="EJ292" s="5">
        <v>0.49319211118200901</v>
      </c>
      <c r="EK292" s="5">
        <v>-8.3781262414844598E-2</v>
      </c>
      <c r="EL292" s="5">
        <v>0.57121873755626196</v>
      </c>
      <c r="EM292" s="5">
        <v>-0.230088092948945</v>
      </c>
      <c r="EN292" s="5">
        <v>0.28243702108746799</v>
      </c>
      <c r="EO292" s="5">
        <v>-4.7731989569597198E-2</v>
      </c>
      <c r="EP292" s="5">
        <v>0.27746595219855602</v>
      </c>
      <c r="EQ292" s="5">
        <v>-9.1601214870309297E-2</v>
      </c>
      <c r="ER292" s="5">
        <v>0.59636657657618397</v>
      </c>
      <c r="ES292" s="5">
        <v>-0.25233930408238697</v>
      </c>
      <c r="ET292" s="5">
        <v>0.359904542305369</v>
      </c>
      <c r="EU292" s="5">
        <v>-8.5217583808427394E-2</v>
      </c>
      <c r="EV292" s="5">
        <v>0.42695298893528699</v>
      </c>
      <c r="EW292" s="5">
        <v>-0.139074815812398</v>
      </c>
      <c r="EX292" s="5">
        <v>0.37569958364969003</v>
      </c>
      <c r="EY292" s="5">
        <v>-0.183817721131873</v>
      </c>
      <c r="EZ292" s="5">
        <v>0.59500990526589803</v>
      </c>
      <c r="FA292" s="5">
        <v>-0.25085905225924199</v>
      </c>
      <c r="FB292" s="5">
        <v>4.4812472414582902E-2</v>
      </c>
      <c r="FC292" s="5">
        <v>0.14169331946097899</v>
      </c>
      <c r="FD292" s="5">
        <v>0.461264764253491</v>
      </c>
      <c r="FE292" s="5">
        <v>-0.23929347558085901</v>
      </c>
      <c r="FF292" s="5">
        <v>1.12124389344565E-2</v>
      </c>
      <c r="FG292" s="5">
        <v>0.13622576034705999</v>
      </c>
      <c r="FH292" s="5">
        <v>0.70007857186120304</v>
      </c>
      <c r="FI292" s="5">
        <v>-0.48062344205435298</v>
      </c>
      <c r="FJ292" s="5">
        <v>0.42850637542426001</v>
      </c>
      <c r="FK292" s="5">
        <v>1.15641810023757E-2</v>
      </c>
      <c r="FL292" s="5">
        <v>-3.3417489532910599E-2</v>
      </c>
      <c r="FM292" s="5">
        <v>4.8772256300756101E-2</v>
      </c>
      <c r="FN292" s="5">
        <v>0.42351390793426502</v>
      </c>
      <c r="FO292" s="5">
        <v>-5.9622363455528501E-2</v>
      </c>
      <c r="FP292" s="5">
        <v>0.57886046711221595</v>
      </c>
      <c r="FQ292" s="5">
        <v>-0.27639053113949902</v>
      </c>
      <c r="FR292" s="5">
        <v>-8.8016998535581301E-2</v>
      </c>
      <c r="FS292" s="5">
        <v>5.1443106993190602E-3</v>
      </c>
      <c r="FT292" s="5">
        <v>0.38402564196780598</v>
      </c>
      <c r="FU292" s="5">
        <v>-4.3164902961106998E-2</v>
      </c>
      <c r="FV292" s="5">
        <v>0.16414731166038701</v>
      </c>
      <c r="FW292" s="5">
        <v>7.3118646597397904E-2</v>
      </c>
      <c r="FX292" s="5">
        <v>0.3882578888621</v>
      </c>
      <c r="FY292" s="5">
        <v>-0.175209707631276</v>
      </c>
      <c r="FZ292" s="5">
        <v>0.44440754993602499</v>
      </c>
      <c r="GA292" s="5">
        <v>-7.6253284604620594E-2</v>
      </c>
      <c r="GB292" s="5">
        <v>3.7228329970947598E-2</v>
      </c>
      <c r="GC292" s="5">
        <v>0.20471393676997501</v>
      </c>
      <c r="GD292" s="5">
        <v>-0.21815982432102299</v>
      </c>
      <c r="GE292" s="5">
        <v>0.23350300731691401</v>
      </c>
      <c r="GF292" s="5">
        <v>0.246305676653365</v>
      </c>
      <c r="GG292" s="5">
        <v>0.144918782838627</v>
      </c>
      <c r="GH292" s="5">
        <v>-0.28742401116226601</v>
      </c>
      <c r="GI292" s="5">
        <v>0.16001069996463399</v>
      </c>
      <c r="GJ292" s="5">
        <v>0.50580626443809695</v>
      </c>
      <c r="GK292" s="5">
        <v>-0.24344120825104101</v>
      </c>
      <c r="GL292" s="5">
        <v>0.14013925713331599</v>
      </c>
      <c r="GM292" s="5">
        <v>2.6037578288124801E-2</v>
      </c>
      <c r="GN292" s="5">
        <v>0.125047222863436</v>
      </c>
      <c r="GO292" s="5">
        <v>0.11156005884402</v>
      </c>
      <c r="GP292" s="5">
        <v>0.634389080635132</v>
      </c>
      <c r="GQ292" s="5">
        <v>-0.32967274008956499</v>
      </c>
      <c r="GR292" s="5">
        <v>0.53121508464886003</v>
      </c>
      <c r="GS292" s="5">
        <v>-0.331879091736063</v>
      </c>
      <c r="GT292" s="5">
        <v>0.27052547833420099</v>
      </c>
      <c r="GU292" s="5">
        <v>2.9883777988232899E-2</v>
      </c>
      <c r="GV292" s="5">
        <v>0.40568940416885801</v>
      </c>
      <c r="GW292" s="5">
        <v>-0.124772382619643</v>
      </c>
      <c r="GX292" s="5">
        <v>0.53364962498489099</v>
      </c>
      <c r="GY292" s="5">
        <v>-0.26072843523394801</v>
      </c>
      <c r="GZ292" s="5">
        <v>-0.14584460155558099</v>
      </c>
      <c r="HA292" s="5">
        <v>0.12847994030570001</v>
      </c>
      <c r="HB292" s="5">
        <v>0.35668104175267101</v>
      </c>
      <c r="HC292" s="5">
        <v>1.1228158144467801E-2</v>
      </c>
      <c r="HD292" s="5">
        <v>4.5727498250978098E-2</v>
      </c>
      <c r="HE292" s="5">
        <v>0.358813165559768</v>
      </c>
      <c r="HF292" s="5">
        <v>-9.8244931325825499E-2</v>
      </c>
      <c r="HG292" s="5">
        <v>0.109385172416117</v>
      </c>
      <c r="HH292" s="5">
        <v>-8.2600778447872295E-2</v>
      </c>
      <c r="HI292" s="5">
        <v>0.16207506450737699</v>
      </c>
      <c r="HJ292" s="5">
        <v>-9.7827252221544897E-2</v>
      </c>
      <c r="HK292" s="5">
        <v>9.5970477980846902E-2</v>
      </c>
      <c r="HL292" s="5">
        <v>0.368086724528567</v>
      </c>
      <c r="HM292" s="5">
        <v>-3.2574888170951001E-3</v>
      </c>
      <c r="HN292" s="5">
        <v>-2.3976392780259901E-2</v>
      </c>
      <c r="HO292" s="5">
        <v>0.170776519160562</v>
      </c>
      <c r="HP292" s="5">
        <v>0.50856834394799</v>
      </c>
      <c r="HQ292" s="5">
        <v>-0.13268160708236101</v>
      </c>
      <c r="HR292" s="5">
        <v>0.55954754101571003</v>
      </c>
      <c r="HS292" s="5">
        <v>-0.21707627740683799</v>
      </c>
      <c r="HT292" s="5">
        <v>-1.27830847658029E-2</v>
      </c>
      <c r="HU292" s="5">
        <v>0.19629741520510499</v>
      </c>
      <c r="HV292" s="5">
        <v>0.57919480570188597</v>
      </c>
      <c r="HW292" s="5">
        <v>-0.21367521564167299</v>
      </c>
      <c r="HX292" s="5">
        <v>0.57292620065175004</v>
      </c>
      <c r="HY292" s="5">
        <v>-0.23649698650130299</v>
      </c>
      <c r="HZ292" s="5">
        <v>-0.12667037900144101</v>
      </c>
      <c r="IA292" s="5">
        <v>0.21218789848269401</v>
      </c>
      <c r="IB292" s="5">
        <v>-0.18761316826597199</v>
      </c>
      <c r="IC292" s="5">
        <v>7.4478255745456801E-2</v>
      </c>
      <c r="ID292" s="5">
        <v>0.48480327563689102</v>
      </c>
      <c r="IE292" s="5">
        <v>-5.4418149110290401E-2</v>
      </c>
      <c r="IF292" s="5">
        <v>0.55322726106752196</v>
      </c>
      <c r="IG292" s="5">
        <v>-0.163900384456171</v>
      </c>
      <c r="IH292" s="5">
        <v>6.6548101532291903E-2</v>
      </c>
      <c r="II292" s="5">
        <v>0.112413547684083</v>
      </c>
      <c r="IJ292" s="5">
        <v>0.327805871098795</v>
      </c>
      <c r="IK292" s="5">
        <v>-0.17861636597487701</v>
      </c>
      <c r="IL292" s="5">
        <v>0.52244221053227802</v>
      </c>
      <c r="IM292" s="5">
        <v>-0.123081035715462</v>
      </c>
      <c r="IN292" s="5">
        <v>0.57278825913852005</v>
      </c>
      <c r="IO292" s="5">
        <v>-0.213859966259001</v>
      </c>
      <c r="IP292" s="5">
        <v>0.40126535386182799</v>
      </c>
      <c r="IQ292" s="5">
        <v>6.0278324611159298E-2</v>
      </c>
      <c r="IR292" s="5">
        <v>0.30763403425971497</v>
      </c>
      <c r="IS292" s="5">
        <v>2.4923954962590499E-2</v>
      </c>
      <c r="IT292" s="5">
        <v>0.51094737156724301</v>
      </c>
      <c r="IU292" s="5">
        <v>-0.15655593658358699</v>
      </c>
      <c r="IV292" s="5">
        <v>0.47070184152942102</v>
      </c>
      <c r="IW292" s="5">
        <v>-0.13496550519145301</v>
      </c>
      <c r="IX292" s="5">
        <v>0.57598477525920699</v>
      </c>
      <c r="IY292" s="5">
        <v>-0.25125783973421401</v>
      </c>
      <c r="IZ292" s="5">
        <v>-1.9934855761717499E-2</v>
      </c>
      <c r="JA292" s="5">
        <v>6.9409540142348597E-2</v>
      </c>
      <c r="JB292" s="5">
        <v>-0.221912492275398</v>
      </c>
      <c r="JC292" s="5">
        <v>0.14095219908393999</v>
      </c>
      <c r="JD292" s="5">
        <v>0.160842939334432</v>
      </c>
      <c r="JE292" s="5">
        <v>0.27758801517786502</v>
      </c>
      <c r="JF292" s="5">
        <v>0.37986726635774098</v>
      </c>
      <c r="JG292" s="5">
        <v>-0.221585309862699</v>
      </c>
      <c r="JH292" s="5">
        <v>8.6384126580584503E-2</v>
      </c>
      <c r="JI292" s="5">
        <v>-3.4830645355898998E-2</v>
      </c>
      <c r="JJ292" s="5">
        <v>0.43605076009877802</v>
      </c>
      <c r="JK292" s="5">
        <v>2.9864210873844901E-2</v>
      </c>
      <c r="JL292" s="5">
        <v>0.35210538767744498</v>
      </c>
      <c r="JM292" s="5">
        <v>5.3947955244213801E-2</v>
      </c>
      <c r="JN292" s="5">
        <v>0.470834071254217</v>
      </c>
      <c r="JO292" s="5">
        <v>-0.18674325267970901</v>
      </c>
      <c r="JP292" s="5">
        <v>0.49301170685939499</v>
      </c>
      <c r="JQ292" s="5">
        <v>-3.37823863130765E-2</v>
      </c>
      <c r="JR292" s="5">
        <v>0.61057261486956504</v>
      </c>
      <c r="JS292" s="5">
        <v>-0.26882621960637998</v>
      </c>
      <c r="JT292" s="5">
        <v>0.37940500132360799</v>
      </c>
      <c r="JU292" s="5">
        <v>-0.148419113820636</v>
      </c>
      <c r="JV292" s="5">
        <v>0.66072701907536002</v>
      </c>
      <c r="JW292" s="5">
        <v>-0.33863762375920198</v>
      </c>
      <c r="JX292" s="5">
        <v>-6.3313299286973407E-2</v>
      </c>
      <c r="JY292" s="5">
        <v>0.107262423407053</v>
      </c>
      <c r="JZ292" s="5">
        <v>0.14169433010288901</v>
      </c>
      <c r="KA292" s="5">
        <v>3.3360633299019803E-2</v>
      </c>
      <c r="KB292" s="5">
        <v>-0.132774745252632</v>
      </c>
      <c r="KC292" s="5">
        <v>0.13308109969486101</v>
      </c>
      <c r="KD292" s="5">
        <v>0.102147804299869</v>
      </c>
      <c r="KE292" s="5">
        <v>0.227347906266197</v>
      </c>
      <c r="KF292" s="5">
        <v>1</v>
      </c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</row>
    <row r="293" spans="1:389" x14ac:dyDescent="0.45">
      <c r="A293" s="4" t="str">
        <f ca="1">"PRY / beta2dist in "&amp;CELL("address",'damages-1990'!$K$147)</f>
        <v>PRY / beta2dist in '[BHM betas v3pd.xlsx]damages-1990'!$K$147</v>
      </c>
      <c r="B293" s="6">
        <v>-3.9532067703697403E-2</v>
      </c>
      <c r="C293" s="5">
        <v>-4.5774904586089703E-2</v>
      </c>
      <c r="D293" s="5">
        <v>-0.114351320436047</v>
      </c>
      <c r="E293" s="5">
        <v>-3.4127745897769499E-2</v>
      </c>
      <c r="F293" s="5">
        <v>-2.6283358133318401E-3</v>
      </c>
      <c r="G293" s="5">
        <v>-2.9350571021520399E-2</v>
      </c>
      <c r="H293" s="5">
        <v>7.6121566735360996E-2</v>
      </c>
      <c r="I293" s="5">
        <v>-7.1607966570392298E-2</v>
      </c>
      <c r="J293" s="5">
        <v>-0.34967825002019898</v>
      </c>
      <c r="K293" s="5">
        <v>0.29524996807234499</v>
      </c>
      <c r="L293" s="5">
        <v>-0.29353508492216601</v>
      </c>
      <c r="M293" s="5">
        <v>0.281283903558252</v>
      </c>
      <c r="N293" s="5">
        <v>0.24547526850787199</v>
      </c>
      <c r="O293" s="5">
        <v>-0.28902901215326698</v>
      </c>
      <c r="P293" s="5">
        <v>5.13117505963267E-2</v>
      </c>
      <c r="Q293" s="5">
        <v>-5.47071414404951E-2</v>
      </c>
      <c r="R293" s="5">
        <v>-0.23896732698517201</v>
      </c>
      <c r="S293" s="5">
        <v>0.12028594674554</v>
      </c>
      <c r="T293" s="5">
        <v>9.45614671586614E-2</v>
      </c>
      <c r="U293" s="5">
        <v>-0.1266083800824</v>
      </c>
      <c r="V293" s="5">
        <v>2.54502794192683E-2</v>
      </c>
      <c r="W293" s="5">
        <v>-0.17290156346494301</v>
      </c>
      <c r="X293" s="5">
        <v>-9.4290622597775098E-2</v>
      </c>
      <c r="Y293" s="5">
        <v>1.1761334369746199E-3</v>
      </c>
      <c r="Z293" s="5">
        <v>3.5121101570324102E-2</v>
      </c>
      <c r="AA293" s="5">
        <v>-5.1683616516041198E-2</v>
      </c>
      <c r="AB293" s="5">
        <v>-0.41131302120371099</v>
      </c>
      <c r="AC293" s="5">
        <v>0.34167175110886999</v>
      </c>
      <c r="AD293" s="5">
        <v>-0.41047904585943501</v>
      </c>
      <c r="AE293" s="5">
        <v>0.317607118974575</v>
      </c>
      <c r="AF293" s="5">
        <v>-0.124915588741545</v>
      </c>
      <c r="AG293" s="5">
        <v>7.0992819985905398E-2</v>
      </c>
      <c r="AH293" s="5">
        <v>6.01908681199489E-2</v>
      </c>
      <c r="AI293" s="5">
        <v>-0.102857828025554</v>
      </c>
      <c r="AJ293" s="5">
        <v>-0.39966830642033402</v>
      </c>
      <c r="AK293" s="5">
        <v>0.35862477057048597</v>
      </c>
      <c r="AL293" s="5">
        <v>-0.330059341879617</v>
      </c>
      <c r="AM293" s="5">
        <v>0.35823937113222998</v>
      </c>
      <c r="AN293" s="5">
        <v>9.4096825723079494E-2</v>
      </c>
      <c r="AO293" s="5">
        <v>-0.13592818710104099</v>
      </c>
      <c r="AP293" s="5">
        <v>0.118303398507311</v>
      </c>
      <c r="AQ293" s="5">
        <v>-0.161449196222027</v>
      </c>
      <c r="AR293" s="5">
        <v>-0.37471302005156998</v>
      </c>
      <c r="AS293" s="5">
        <v>0.34364074613949602</v>
      </c>
      <c r="AT293" s="5">
        <v>-0.32271802319119602</v>
      </c>
      <c r="AU293" s="5">
        <v>0.32355146911886401</v>
      </c>
      <c r="AV293" s="5">
        <v>-0.41223844286569999</v>
      </c>
      <c r="AW293" s="5">
        <v>0.40821478722593502</v>
      </c>
      <c r="AX293" s="5">
        <v>-0.37875456313220501</v>
      </c>
      <c r="AY293" s="5">
        <v>0.349568192875234</v>
      </c>
      <c r="AZ293" s="5">
        <v>-8.8294200547231097E-2</v>
      </c>
      <c r="BA293" s="5">
        <v>0.106595401370706</v>
      </c>
      <c r="BB293" s="5">
        <v>-0.111224140238966</v>
      </c>
      <c r="BC293" s="5">
        <v>-5.2956835782384103E-2</v>
      </c>
      <c r="BD293" s="5">
        <v>-2.6482916117506701E-2</v>
      </c>
      <c r="BE293" s="5">
        <v>-3.4711025244457898E-2</v>
      </c>
      <c r="BF293" s="5">
        <v>-0.20314135722565499</v>
      </c>
      <c r="BG293" s="5">
        <v>9.7139790715239802E-2</v>
      </c>
      <c r="BH293" s="5">
        <v>-0.25642704320259002</v>
      </c>
      <c r="BI293" s="5">
        <v>0.16528019350887899</v>
      </c>
      <c r="BJ293" s="5">
        <v>4.8689552029190203E-2</v>
      </c>
      <c r="BK293" s="5">
        <v>-6.06953965271999E-2</v>
      </c>
      <c r="BL293" s="5">
        <v>7.7863982870612802E-2</v>
      </c>
      <c r="BM293" s="5">
        <v>-0.11032872313393099</v>
      </c>
      <c r="BN293" s="5">
        <v>0.159347520289363</v>
      </c>
      <c r="BO293" s="5">
        <v>-0.16532297961150799</v>
      </c>
      <c r="BP293" s="5">
        <v>7.5564234095559804E-2</v>
      </c>
      <c r="BQ293" s="5">
        <v>-0.107284560306009</v>
      </c>
      <c r="BR293" s="5">
        <v>-0.339773281089843</v>
      </c>
      <c r="BS293" s="5">
        <v>0.27412990958066302</v>
      </c>
      <c r="BT293" s="5">
        <v>-0.38458612864400299</v>
      </c>
      <c r="BU293" s="5">
        <v>0.33252130211193498</v>
      </c>
      <c r="BV293" s="5">
        <v>-0.28233417063626898</v>
      </c>
      <c r="BW293" s="5">
        <v>0.18861040521445599</v>
      </c>
      <c r="BX293" s="5">
        <v>-0.28830405716604302</v>
      </c>
      <c r="BY293" s="5">
        <v>0.23035914645011701</v>
      </c>
      <c r="BZ293" s="5">
        <v>-0.30699657118339602</v>
      </c>
      <c r="CA293" s="5">
        <v>0.20230992878168799</v>
      </c>
      <c r="CB293" s="5">
        <v>-0.18888116491660201</v>
      </c>
      <c r="CC293" s="5">
        <v>0.17999841682902001</v>
      </c>
      <c r="CD293" s="5">
        <v>0.13895837857901799</v>
      </c>
      <c r="CE293" s="5">
        <v>-0.19096467568178299</v>
      </c>
      <c r="CF293" s="5">
        <v>-0.27899846161894298</v>
      </c>
      <c r="CG293" s="5">
        <v>0.20493981440820899</v>
      </c>
      <c r="CH293" s="5">
        <v>-0.32103570766730699</v>
      </c>
      <c r="CI293" s="5">
        <v>0.36929830624430998</v>
      </c>
      <c r="CJ293" s="5">
        <v>-1.8492491274448498E-2</v>
      </c>
      <c r="CK293" s="5">
        <v>-1.2465162564985499E-2</v>
      </c>
      <c r="CL293" s="5">
        <v>8.2172333218559102E-2</v>
      </c>
      <c r="CM293" s="5">
        <v>-0.12286047359029</v>
      </c>
      <c r="CN293" s="5">
        <v>6.1380386254987498E-2</v>
      </c>
      <c r="CO293" s="5">
        <v>-9.1155511152203203E-2</v>
      </c>
      <c r="CP293" s="5">
        <v>-0.18694716600894201</v>
      </c>
      <c r="CQ293" s="5">
        <v>0.123835014686029</v>
      </c>
      <c r="CR293" s="5">
        <v>8.7806402685500107E-2</v>
      </c>
      <c r="CS293" s="5">
        <v>-8.1669920737512697E-2</v>
      </c>
      <c r="CT293" s="5">
        <v>1.19089645888019E-3</v>
      </c>
      <c r="CU293" s="5">
        <v>4.7720198738503798E-3</v>
      </c>
      <c r="CV293" s="5">
        <v>-0.34169087007777799</v>
      </c>
      <c r="CW293" s="5">
        <v>0.34155268736321498</v>
      </c>
      <c r="CX293" s="5">
        <v>-0.48501639349842202</v>
      </c>
      <c r="CY293" s="5">
        <v>0.46530966613751401</v>
      </c>
      <c r="CZ293" s="5">
        <v>-0.19386939024973099</v>
      </c>
      <c r="DA293" s="5">
        <v>9.6524396579181104E-2</v>
      </c>
      <c r="DB293" s="5">
        <v>-0.193364997011096</v>
      </c>
      <c r="DC293" s="5">
        <v>0.14280683832987701</v>
      </c>
      <c r="DD293" s="5">
        <v>-0.209911364680513</v>
      </c>
      <c r="DE293" s="5">
        <v>0.149108200780455</v>
      </c>
      <c r="DF293" s="5">
        <v>-0.13921307282811199</v>
      </c>
      <c r="DG293" s="5">
        <v>5.7975178563835501E-2</v>
      </c>
      <c r="DH293" s="5">
        <v>-2.3420573113244501E-2</v>
      </c>
      <c r="DI293" s="5">
        <v>-3.25401310142528E-2</v>
      </c>
      <c r="DJ293" s="5">
        <v>4.1821025446570403E-2</v>
      </c>
      <c r="DK293" s="5">
        <v>-6.0835297638620001E-2</v>
      </c>
      <c r="DL293" s="5">
        <v>-7.1265112855072005E-2</v>
      </c>
      <c r="DM293" s="5">
        <v>-9.5680629918089306E-3</v>
      </c>
      <c r="DN293" s="5">
        <v>7.4117157268926898E-2</v>
      </c>
      <c r="DO293" s="5">
        <v>-8.59613568770526E-2</v>
      </c>
      <c r="DP293" s="5">
        <v>-0.31279569257093798</v>
      </c>
      <c r="DQ293" s="5">
        <v>0.32298537265314903</v>
      </c>
      <c r="DR293" s="5">
        <v>-6.7768965904714496E-3</v>
      </c>
      <c r="DS293" s="5">
        <v>-1.01826205353169E-2</v>
      </c>
      <c r="DT293" s="5">
        <v>-0.155745747357981</v>
      </c>
      <c r="DU293" s="5">
        <v>0.10808628437824599</v>
      </c>
      <c r="DV293" s="5">
        <v>-0.18745665315837701</v>
      </c>
      <c r="DW293" s="5">
        <v>0.13447184865157599</v>
      </c>
      <c r="DX293" s="5">
        <v>-1.7553169959526799E-2</v>
      </c>
      <c r="DY293" s="5">
        <v>4.1252837974591602E-2</v>
      </c>
      <c r="DZ293" s="5">
        <v>0.21635948010765599</v>
      </c>
      <c r="EA293" s="5">
        <v>-0.26887224089227801</v>
      </c>
      <c r="EB293" s="5">
        <v>-0.41601266102116502</v>
      </c>
      <c r="EC293" s="5">
        <v>0.33483456303394699</v>
      </c>
      <c r="ED293" s="5">
        <v>-0.38143685821357298</v>
      </c>
      <c r="EE293" s="5">
        <v>0.28683993105336097</v>
      </c>
      <c r="EF293" s="5">
        <v>7.2334934585249699E-2</v>
      </c>
      <c r="EG293" s="5">
        <v>-7.0705924370052201E-2</v>
      </c>
      <c r="EH293" s="5">
        <v>-0.21193648665010101</v>
      </c>
      <c r="EI293" s="5">
        <v>0.138314208264289</v>
      </c>
      <c r="EJ293" s="5">
        <v>-0.27071704301344901</v>
      </c>
      <c r="EK293" s="5">
        <v>0.18579376387451299</v>
      </c>
      <c r="EL293" s="5">
        <v>-0.35135552592594299</v>
      </c>
      <c r="EM293" s="5">
        <v>0.31328152224886402</v>
      </c>
      <c r="EN293" s="5">
        <v>-0.140825593058721</v>
      </c>
      <c r="EO293" s="5">
        <v>0.12332609322119301</v>
      </c>
      <c r="EP293" s="5">
        <v>-0.159832629014862</v>
      </c>
      <c r="EQ293" s="5">
        <v>0.153887979052757</v>
      </c>
      <c r="ER293" s="5">
        <v>-0.373884075105129</v>
      </c>
      <c r="ES293" s="5">
        <v>0.32661649056629899</v>
      </c>
      <c r="ET293" s="5">
        <v>-0.11350289969532</v>
      </c>
      <c r="EU293" s="5">
        <v>0.10485419893857301</v>
      </c>
      <c r="EV293" s="5">
        <v>-0.22845572167262901</v>
      </c>
      <c r="EW293" s="5">
        <v>0.217717227879002</v>
      </c>
      <c r="EX293" s="5">
        <v>-9.9122929656279599E-2</v>
      </c>
      <c r="EY293" s="5">
        <v>0.13745346634327099</v>
      </c>
      <c r="EZ293" s="5">
        <v>-0.40808040210034402</v>
      </c>
      <c r="FA293" s="5">
        <v>0.363889711048965</v>
      </c>
      <c r="FB293" s="5">
        <v>1.3421130523290701E-2</v>
      </c>
      <c r="FC293" s="5">
        <v>-3.3616337204718197E-2</v>
      </c>
      <c r="FD293" s="5">
        <v>-0.36413980026980203</v>
      </c>
      <c r="FE293" s="5">
        <v>0.378776855444315</v>
      </c>
      <c r="FF293" s="5">
        <v>5.44446228244524E-2</v>
      </c>
      <c r="FG293" s="5">
        <v>-8.03889084080706E-2</v>
      </c>
      <c r="FH293" s="5">
        <v>-0.40105992832869503</v>
      </c>
      <c r="FI293" s="5">
        <v>0.455454792230443</v>
      </c>
      <c r="FJ293" s="5">
        <v>-0.210582035858592</v>
      </c>
      <c r="FK293" s="5">
        <v>0.11103353300782599</v>
      </c>
      <c r="FL293" s="5">
        <v>-8.0127091131233699E-4</v>
      </c>
      <c r="FM293" s="5">
        <v>1.6552713160754101E-2</v>
      </c>
      <c r="FN293" s="5">
        <v>-0.22781937189540599</v>
      </c>
      <c r="FO293" s="5">
        <v>0.17467463581314199</v>
      </c>
      <c r="FP293" s="5">
        <v>-0.39050589347106102</v>
      </c>
      <c r="FQ293" s="5">
        <v>0.387166042653592</v>
      </c>
      <c r="FR293" s="5">
        <v>-3.3001587674574701E-2</v>
      </c>
      <c r="FS293" s="5">
        <v>6.5342118832610194E-2</v>
      </c>
      <c r="FT293" s="5">
        <v>-0.135524474973297</v>
      </c>
      <c r="FU293" s="5">
        <v>8.8761825361146296E-2</v>
      </c>
      <c r="FV293" s="5">
        <v>-6.38347063239635E-2</v>
      </c>
      <c r="FW293" s="5">
        <v>7.1761050509123903E-2</v>
      </c>
      <c r="FX293" s="5">
        <v>-0.280022519509322</v>
      </c>
      <c r="FY293" s="5">
        <v>0.31204223473333897</v>
      </c>
      <c r="FZ293" s="5">
        <v>-0.16734907436881899</v>
      </c>
      <c r="GA293" s="5">
        <v>0.110079240425443</v>
      </c>
      <c r="GB293" s="5">
        <v>4.9405797546411202E-2</v>
      </c>
      <c r="GC293" s="5">
        <v>-0.11399371466647699</v>
      </c>
      <c r="GD293" s="5">
        <v>0.193718248640362</v>
      </c>
      <c r="GE293" s="5">
        <v>-0.221002045921179</v>
      </c>
      <c r="GF293" s="5">
        <v>2.6509154912189001E-2</v>
      </c>
      <c r="GG293" s="5">
        <v>-0.103346241865482</v>
      </c>
      <c r="GH293" s="5">
        <v>0.158426221282751</v>
      </c>
      <c r="GI293" s="5">
        <v>-0.12680584401189901</v>
      </c>
      <c r="GJ293" s="5">
        <v>-0.28338128970936</v>
      </c>
      <c r="GK293" s="5">
        <v>0.29399493518625103</v>
      </c>
      <c r="GL293" s="5">
        <v>-7.1118095997804207E-2</v>
      </c>
      <c r="GM293" s="5">
        <v>7.2916912312429805E-2</v>
      </c>
      <c r="GN293" s="5">
        <v>-3.7753487655337203E-2</v>
      </c>
      <c r="GO293" s="5">
        <v>1.33008071877098E-2</v>
      </c>
      <c r="GP293" s="5">
        <v>-0.45845024694536701</v>
      </c>
      <c r="GQ293" s="5">
        <v>0.46300324120327102</v>
      </c>
      <c r="GR293" s="5">
        <v>-0.31089816729960601</v>
      </c>
      <c r="GS293" s="5">
        <v>0.39252526924539899</v>
      </c>
      <c r="GT293" s="5">
        <v>-6.2937497795910097E-2</v>
      </c>
      <c r="GU293" s="5">
        <v>1.25742994427615E-2</v>
      </c>
      <c r="GV293" s="5">
        <v>-0.230871722124805</v>
      </c>
      <c r="GW293" s="5">
        <v>0.21820113549401601</v>
      </c>
      <c r="GX293" s="5">
        <v>-0.35271890870014599</v>
      </c>
      <c r="GY293" s="5">
        <v>0.370033145249129</v>
      </c>
      <c r="GZ293" s="5">
        <v>8.2768952611285196E-2</v>
      </c>
      <c r="HA293" s="5">
        <v>-0.11605512848812601</v>
      </c>
      <c r="HB293" s="5">
        <v>-0.111046974134592</v>
      </c>
      <c r="HC293" s="5">
        <v>5.7091864199551E-3</v>
      </c>
      <c r="HD293" s="5">
        <v>5.1325135984373702E-2</v>
      </c>
      <c r="HE293" s="5">
        <v>-0.18355831592319299</v>
      </c>
      <c r="HF293" s="5">
        <v>7.5031398670066002E-2</v>
      </c>
      <c r="HG293" s="5">
        <v>-0.107554698349935</v>
      </c>
      <c r="HH293" s="5">
        <v>6.12372641387555E-2</v>
      </c>
      <c r="HI293" s="5">
        <v>-9.5712062600282199E-2</v>
      </c>
      <c r="HJ293" s="5">
        <v>5.9791027070198698E-2</v>
      </c>
      <c r="HK293" s="5">
        <v>-8.6795261778748398E-2</v>
      </c>
      <c r="HL293" s="5">
        <v>-0.20177475288100699</v>
      </c>
      <c r="HM293" s="5">
        <v>0.14055269676146301</v>
      </c>
      <c r="HN293" s="5">
        <v>0.106657405963624</v>
      </c>
      <c r="HO293" s="5">
        <v>-0.154100367817602</v>
      </c>
      <c r="HP293" s="5">
        <v>-0.30972341604021297</v>
      </c>
      <c r="HQ293" s="5">
        <v>0.28384489357935699</v>
      </c>
      <c r="HR293" s="5">
        <v>-0.26411198579191097</v>
      </c>
      <c r="HS293" s="5">
        <v>0.229436849208007</v>
      </c>
      <c r="HT293" s="5">
        <v>6.6703129521910307E-2</v>
      </c>
      <c r="HU293" s="5">
        <v>-0.107215840772604</v>
      </c>
      <c r="HV293" s="5">
        <v>-0.45481426291969701</v>
      </c>
      <c r="HW293" s="5">
        <v>0.40222430613299698</v>
      </c>
      <c r="HX293" s="5">
        <v>-0.32409859381103601</v>
      </c>
      <c r="HY293" s="5">
        <v>0.31669448700657699</v>
      </c>
      <c r="HZ293" s="5">
        <v>0.120107135688501</v>
      </c>
      <c r="IA293" s="5">
        <v>-0.162366661974326</v>
      </c>
      <c r="IB293" s="5">
        <v>0.108683078576613</v>
      </c>
      <c r="IC293" s="5">
        <v>-5.9575708015430301E-2</v>
      </c>
      <c r="ID293" s="5">
        <v>-0.19503049315295201</v>
      </c>
      <c r="IE293" s="5">
        <v>8.1649050184839006E-2</v>
      </c>
      <c r="IF293" s="5">
        <v>-0.38289941641535402</v>
      </c>
      <c r="IG293" s="5">
        <v>0.32176140084728</v>
      </c>
      <c r="IH293" s="5">
        <v>3.7627004423913001E-2</v>
      </c>
      <c r="II293" s="5">
        <v>-2.9184928928391099E-2</v>
      </c>
      <c r="IJ293" s="5">
        <v>-0.285903949151598</v>
      </c>
      <c r="IK293" s="5">
        <v>0.30930065277947599</v>
      </c>
      <c r="IL293" s="5">
        <v>-0.24502712524998899</v>
      </c>
      <c r="IM293" s="5">
        <v>0.15235266564345001</v>
      </c>
      <c r="IN293" s="5">
        <v>-0.27037952853293901</v>
      </c>
      <c r="IO293" s="5">
        <v>0.21192890350563101</v>
      </c>
      <c r="IP293" s="5">
        <v>-0.119404185694083</v>
      </c>
      <c r="IQ293" s="5">
        <v>-5.2422331626576897E-2</v>
      </c>
      <c r="IR293" s="5">
        <v>-0.270772029251447</v>
      </c>
      <c r="IS293" s="5">
        <v>0.13418990837757999</v>
      </c>
      <c r="IT293" s="5">
        <v>-0.374971132746869</v>
      </c>
      <c r="IU293" s="5">
        <v>0.33283150822470697</v>
      </c>
      <c r="IV293" s="5">
        <v>-0.37388048924309703</v>
      </c>
      <c r="IW293" s="5">
        <v>0.32033811715591898</v>
      </c>
      <c r="IX293" s="5">
        <v>-0.41414782132534</v>
      </c>
      <c r="IY293" s="5">
        <v>0.360308162436208</v>
      </c>
      <c r="IZ293" s="5">
        <v>1.1649403836775599E-2</v>
      </c>
      <c r="JA293" s="5">
        <v>-1.0529476426560901E-2</v>
      </c>
      <c r="JB293" s="5">
        <v>7.7693426376230501E-2</v>
      </c>
      <c r="JC293" s="5">
        <v>-8.3748536961899406E-2</v>
      </c>
      <c r="JD293" s="5">
        <v>-2.91858037956719E-2</v>
      </c>
      <c r="JE293" s="5">
        <v>-8.8058755261743601E-2</v>
      </c>
      <c r="JF293" s="5">
        <v>-0.123256079654484</v>
      </c>
      <c r="JG293" s="5">
        <v>0.13690519161204301</v>
      </c>
      <c r="JH293" s="5">
        <v>-7.0920206984553202E-2</v>
      </c>
      <c r="JI293" s="5">
        <v>0.11609904605575801</v>
      </c>
      <c r="JJ293" s="5">
        <v>-0.13729932029872999</v>
      </c>
      <c r="JK293" s="5">
        <v>1.8444683604670602E-2</v>
      </c>
      <c r="JL293" s="5">
        <v>-0.17981701649935899</v>
      </c>
      <c r="JM293" s="5">
        <v>9.9210613267432093E-2</v>
      </c>
      <c r="JN293" s="5">
        <v>-0.32169580252071001</v>
      </c>
      <c r="JO293" s="5">
        <v>0.28513148192381699</v>
      </c>
      <c r="JP293" s="5">
        <v>-0.22516560044506201</v>
      </c>
      <c r="JQ293" s="5">
        <v>0.108921718697853</v>
      </c>
      <c r="JR293" s="5">
        <v>-0.34183447860406901</v>
      </c>
      <c r="JS293" s="5">
        <v>0.29138689089659697</v>
      </c>
      <c r="JT293" s="5">
        <v>-0.19054485607598901</v>
      </c>
      <c r="JU293" s="5">
        <v>0.16059596741496199</v>
      </c>
      <c r="JV293" s="5">
        <v>-0.39498895925330102</v>
      </c>
      <c r="JW293" s="5">
        <v>0.39659091208842001</v>
      </c>
      <c r="JX293" s="5">
        <v>7.9455025025342102E-2</v>
      </c>
      <c r="JY293" s="5">
        <v>-0.111154295424226</v>
      </c>
      <c r="JZ293" s="5">
        <v>-0.113058415528242</v>
      </c>
      <c r="KA293" s="5">
        <v>0.122840602039231</v>
      </c>
      <c r="KB293" s="5">
        <v>3.8214951170576002E-2</v>
      </c>
      <c r="KC293" s="5">
        <v>-3.9083474760864899E-2</v>
      </c>
      <c r="KD293" s="5">
        <v>9.3414911529406702E-2</v>
      </c>
      <c r="KE293" s="5">
        <v>-0.20139797756765701</v>
      </c>
      <c r="KF293" s="5">
        <v>-0.84049802857465195</v>
      </c>
      <c r="KG293" s="5">
        <v>1</v>
      </c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</row>
    <row r="294" spans="1:389" x14ac:dyDescent="0.45">
      <c r="A294" s="4" t="str">
        <f ca="1">"PSE / beta1dist in "&amp;CELL("address",'damages-1990'!$J$148)</f>
        <v>PSE / beta1dist in '[BHM betas v3pd.xlsx]damages-1990'!$J$148</v>
      </c>
      <c r="B294" s="6">
        <v>0.35389257992546702</v>
      </c>
      <c r="C294" s="5">
        <v>8.7354230855437906E-2</v>
      </c>
      <c r="D294" s="5">
        <v>0.35659768281774401</v>
      </c>
      <c r="E294" s="5">
        <v>-3.3220367545139899E-2</v>
      </c>
      <c r="F294" s="5">
        <v>0.340850891207155</v>
      </c>
      <c r="G294" s="5">
        <v>-4.4066788086316297E-2</v>
      </c>
      <c r="H294" s="5">
        <v>-0.16623477679697801</v>
      </c>
      <c r="I294" s="5">
        <v>0.23704297582452</v>
      </c>
      <c r="J294" s="5">
        <v>0.450455515036567</v>
      </c>
      <c r="K294" s="5">
        <v>-0.14383887012678401</v>
      </c>
      <c r="L294" s="5">
        <v>0.46929560005878701</v>
      </c>
      <c r="M294" s="5">
        <v>-0.115626474124622</v>
      </c>
      <c r="N294" s="5">
        <v>-0.11236832110513199</v>
      </c>
      <c r="O294" s="5">
        <v>0.314088323000836</v>
      </c>
      <c r="P294" s="5">
        <v>0.10258145148362099</v>
      </c>
      <c r="Q294" s="5">
        <v>6.6036640341271297E-2</v>
      </c>
      <c r="R294" s="5">
        <v>0.48283029863764698</v>
      </c>
      <c r="S294" s="5">
        <v>-0.15972713953222301</v>
      </c>
      <c r="T294" s="5">
        <v>-0.212597425858046</v>
      </c>
      <c r="U294" s="5">
        <v>0.32242046806089802</v>
      </c>
      <c r="V294" s="5">
        <v>0.40263353725944301</v>
      </c>
      <c r="W294" s="5">
        <v>3.9635584029945201E-2</v>
      </c>
      <c r="X294" s="5">
        <v>0.40074498006500903</v>
      </c>
      <c r="Y294" s="5">
        <v>-6.06557455734393E-2</v>
      </c>
      <c r="Z294" s="5">
        <v>9.6594762443257993E-3</v>
      </c>
      <c r="AA294" s="5">
        <v>0.208777357369936</v>
      </c>
      <c r="AB294" s="5">
        <v>0.24797523665834401</v>
      </c>
      <c r="AC294" s="5">
        <v>-4.2126887468860001E-2</v>
      </c>
      <c r="AD294" s="5">
        <v>0.26236816253099998</v>
      </c>
      <c r="AE294" s="5">
        <v>-2.5407871451617301E-2</v>
      </c>
      <c r="AF294" s="5">
        <v>0.37603315319348002</v>
      </c>
      <c r="AG294" s="5">
        <v>-9.4589525437664204E-2</v>
      </c>
      <c r="AH294" s="5">
        <v>0.21281109674615201</v>
      </c>
      <c r="AI294" s="5">
        <v>7.6887009985382296E-2</v>
      </c>
      <c r="AJ294" s="5">
        <v>0.473490037060878</v>
      </c>
      <c r="AK294" s="5">
        <v>-0.169499929475769</v>
      </c>
      <c r="AL294" s="5">
        <v>0.25011121927918101</v>
      </c>
      <c r="AM294" s="5">
        <v>-5.7862404191548603E-2</v>
      </c>
      <c r="AN294" s="5">
        <v>1.6149521062139699E-3</v>
      </c>
      <c r="AO294" s="5">
        <v>0.228550947234231</v>
      </c>
      <c r="AP294" s="5">
        <v>1.8767869011229801E-2</v>
      </c>
      <c r="AQ294" s="5">
        <v>3.5614947130150697E-2</v>
      </c>
      <c r="AR294" s="5">
        <v>0.30646228605883302</v>
      </c>
      <c r="AS294" s="5">
        <v>-6.8042264410313399E-2</v>
      </c>
      <c r="AT294" s="5">
        <v>0.195105024529728</v>
      </c>
      <c r="AU294" s="5">
        <v>2.2209953844533298E-2</v>
      </c>
      <c r="AV294" s="5">
        <v>0.53601891663522705</v>
      </c>
      <c r="AW294" s="5">
        <v>-0.25315413610281401</v>
      </c>
      <c r="AX294" s="5">
        <v>0.43335043580082699</v>
      </c>
      <c r="AY294" s="5">
        <v>-0.12750660435834801</v>
      </c>
      <c r="AZ294" s="5">
        <v>0.11263066601312</v>
      </c>
      <c r="BA294" s="5">
        <v>1.24358944327906E-2</v>
      </c>
      <c r="BB294" s="5">
        <v>0.389310221147813</v>
      </c>
      <c r="BC294" s="5">
        <v>-7.9469178485926398E-2</v>
      </c>
      <c r="BD294" s="5">
        <v>0.25182719248567598</v>
      </c>
      <c r="BE294" s="5">
        <v>0.162434996053854</v>
      </c>
      <c r="BF294" s="5">
        <v>0.21653244473590899</v>
      </c>
      <c r="BG294" s="5">
        <v>8.9105634184051097E-2</v>
      </c>
      <c r="BH294" s="5">
        <v>0.32852593807577002</v>
      </c>
      <c r="BI294" s="5">
        <v>-6.1737721555282302E-2</v>
      </c>
      <c r="BJ294" s="5">
        <v>-0.25281918406982101</v>
      </c>
      <c r="BK294" s="5">
        <v>0.213811380116948</v>
      </c>
      <c r="BL294" s="5">
        <v>-0.237208825578234</v>
      </c>
      <c r="BM294" s="5">
        <v>0.33213071830852098</v>
      </c>
      <c r="BN294" s="5">
        <v>0.14215123016401399</v>
      </c>
      <c r="BO294" s="5">
        <v>4.9974846659219599E-2</v>
      </c>
      <c r="BP294" s="5">
        <v>-2.4134605384668901E-3</v>
      </c>
      <c r="BQ294" s="5">
        <v>0.22677088263169601</v>
      </c>
      <c r="BR294" s="5">
        <v>0.282820673105108</v>
      </c>
      <c r="BS294" s="5">
        <v>-5.5164498476738599E-2</v>
      </c>
      <c r="BT294" s="5">
        <v>0.41165530189584099</v>
      </c>
      <c r="BU294" s="5">
        <v>-0.138854381626736</v>
      </c>
      <c r="BV294" s="5">
        <v>0.419604990086209</v>
      </c>
      <c r="BW294" s="5">
        <v>-0.13542258664772899</v>
      </c>
      <c r="BX294" s="5">
        <v>0.38500183326968601</v>
      </c>
      <c r="BY294" s="5">
        <v>-0.154720449435306</v>
      </c>
      <c r="BZ294" s="5">
        <v>0.45703879744069797</v>
      </c>
      <c r="CA294" s="5">
        <v>-0.17611324559875899</v>
      </c>
      <c r="CB294" s="5">
        <v>0.31090829238039802</v>
      </c>
      <c r="CC294" s="5">
        <v>-0.14417564817002401</v>
      </c>
      <c r="CD294" s="5">
        <v>7.8033518806208194E-2</v>
      </c>
      <c r="CE294" s="5">
        <v>0.137199068866422</v>
      </c>
      <c r="CF294" s="5">
        <v>0.192995354868854</v>
      </c>
      <c r="CG294" s="5">
        <v>-1.05441199402377E-2</v>
      </c>
      <c r="CH294" s="5">
        <v>0.159585383131474</v>
      </c>
      <c r="CI294" s="5">
        <v>1.5798410547929E-2</v>
      </c>
      <c r="CJ294" s="5">
        <v>0.69619027847007697</v>
      </c>
      <c r="CK294" s="5">
        <v>-0.47786463020988101</v>
      </c>
      <c r="CL294" s="5">
        <v>-0.10335928427319301</v>
      </c>
      <c r="CM294" s="5">
        <v>0.25509935285718599</v>
      </c>
      <c r="CN294" s="5">
        <v>-2.8302721547065399E-2</v>
      </c>
      <c r="CO294" s="5">
        <v>0.21311129538069801</v>
      </c>
      <c r="CP294" s="5">
        <v>0.29930234973741698</v>
      </c>
      <c r="CQ294" s="5">
        <v>-0.113230200302934</v>
      </c>
      <c r="CR294" s="5">
        <v>0.144096873538863</v>
      </c>
      <c r="CS294" s="5">
        <v>2.86684584043355E-2</v>
      </c>
      <c r="CT294" s="5">
        <v>-6.0286086660780403E-3</v>
      </c>
      <c r="CU294" s="5">
        <v>9.7321385369486604E-2</v>
      </c>
      <c r="CV294" s="5">
        <v>0.13923133355089301</v>
      </c>
      <c r="CW294" s="5">
        <v>3.5607850642963498E-2</v>
      </c>
      <c r="CX294" s="5">
        <v>0.56529247379830405</v>
      </c>
      <c r="CY294" s="5">
        <v>-0.26278020702025101</v>
      </c>
      <c r="CZ294" s="5">
        <v>0.38323851072506099</v>
      </c>
      <c r="DA294" s="5">
        <v>-7.7677824855399702E-2</v>
      </c>
      <c r="DB294" s="5">
        <v>0.72144514272756199</v>
      </c>
      <c r="DC294" s="5">
        <v>-0.43110447662954199</v>
      </c>
      <c r="DD294" s="5">
        <v>0.27809749264496297</v>
      </c>
      <c r="DE294" s="5">
        <v>-4.1071409260095101E-2</v>
      </c>
      <c r="DF294" s="5">
        <v>0.31740825847993698</v>
      </c>
      <c r="DG294" s="5">
        <v>-3.0090147164053099E-2</v>
      </c>
      <c r="DH294" s="5">
        <v>0.40010212071538198</v>
      </c>
      <c r="DI294" s="5">
        <v>-5.3457615832463001E-2</v>
      </c>
      <c r="DJ294" s="5">
        <v>2.7199046256705401E-2</v>
      </c>
      <c r="DK294" s="5">
        <v>-6.6814500673547403E-4</v>
      </c>
      <c r="DL294" s="5">
        <v>0.34025531632830203</v>
      </c>
      <c r="DM294" s="5">
        <v>-6.8775835879546499E-2</v>
      </c>
      <c r="DN294" s="5">
        <v>-7.8848883522810706E-2</v>
      </c>
      <c r="DO294" s="5">
        <v>6.1694844243545897E-2</v>
      </c>
      <c r="DP294" s="5">
        <v>0.32869266765620803</v>
      </c>
      <c r="DQ294" s="5">
        <v>-4.7287052790278603E-2</v>
      </c>
      <c r="DR294" s="5">
        <v>0.16515640176670501</v>
      </c>
      <c r="DS294" s="5">
        <v>0.13217666262202399</v>
      </c>
      <c r="DT294" s="5">
        <v>0.42793872249912701</v>
      </c>
      <c r="DU294" s="5">
        <v>-0.28068599715879999</v>
      </c>
      <c r="DV294" s="5">
        <v>0.27480878085758498</v>
      </c>
      <c r="DW294" s="5">
        <v>-6.1320654483990197E-2</v>
      </c>
      <c r="DX294" s="5">
        <v>-8.4637666375996495E-3</v>
      </c>
      <c r="DY294" s="5">
        <v>0.114544008380106</v>
      </c>
      <c r="DZ294" s="5">
        <v>-6.9460883102169205E-2</v>
      </c>
      <c r="EA294" s="5">
        <v>0.29948923547495498</v>
      </c>
      <c r="EB294" s="5">
        <v>0.283481900600697</v>
      </c>
      <c r="EC294" s="5">
        <v>-5.7852844647616003E-2</v>
      </c>
      <c r="ED294" s="5">
        <v>0.34206787883276402</v>
      </c>
      <c r="EE294" s="5">
        <v>-6.6354985468482203E-2</v>
      </c>
      <c r="EF294" s="5">
        <v>0.109228801159699</v>
      </c>
      <c r="EG294" s="5">
        <v>5.63759093577079E-2</v>
      </c>
      <c r="EH294" s="5">
        <v>0.35973212837831298</v>
      </c>
      <c r="EI294" s="5">
        <v>-7.5984135117868098E-2</v>
      </c>
      <c r="EJ294" s="5">
        <v>0.38414353626928599</v>
      </c>
      <c r="EK294" s="5">
        <v>-8.4822225012837593E-2</v>
      </c>
      <c r="EL294" s="5">
        <v>0.42395789680770402</v>
      </c>
      <c r="EM294" s="5">
        <v>-0.19359260007489401</v>
      </c>
      <c r="EN294" s="5">
        <v>0.63047140933280799</v>
      </c>
      <c r="EO294" s="5">
        <v>-0.36172685720737602</v>
      </c>
      <c r="EP294" s="5">
        <v>0.101492036889894</v>
      </c>
      <c r="EQ294" s="5">
        <v>3.01467236778339E-2</v>
      </c>
      <c r="ER294" s="5">
        <v>0.32529432795471502</v>
      </c>
      <c r="ES294" s="5">
        <v>-2.91672191623687E-2</v>
      </c>
      <c r="ET294" s="5">
        <v>0.182828934905295</v>
      </c>
      <c r="EU294" s="5">
        <v>5.5075950643470102E-2</v>
      </c>
      <c r="EV294" s="5">
        <v>0.36228855472435301</v>
      </c>
      <c r="EW294" s="5">
        <v>-0.150117054810083</v>
      </c>
      <c r="EX294" s="5">
        <v>0.243976530335969</v>
      </c>
      <c r="EY294" s="5">
        <v>-1.0284528488766599E-2</v>
      </c>
      <c r="EZ294" s="5">
        <v>0.30365011507142198</v>
      </c>
      <c r="FA294" s="5">
        <v>-5.8708474614119099E-2</v>
      </c>
      <c r="FB294" s="5">
        <v>0.20700427728868001</v>
      </c>
      <c r="FC294" s="5">
        <v>8.5109104585530199E-2</v>
      </c>
      <c r="FD294" s="5">
        <v>0.178977683146407</v>
      </c>
      <c r="FE294" s="5">
        <v>7.1263881844227097E-3</v>
      </c>
      <c r="FF294" s="5">
        <v>0.15411843441454401</v>
      </c>
      <c r="FG294" s="5">
        <v>0.100219275320882</v>
      </c>
      <c r="FH294" s="5">
        <v>0.44735429017747602</v>
      </c>
      <c r="FI294" s="5">
        <v>-0.26287070443193999</v>
      </c>
      <c r="FJ294" s="5">
        <v>0.29937319937767398</v>
      </c>
      <c r="FK294" s="5">
        <v>9.2764991070702102E-2</v>
      </c>
      <c r="FL294" s="5">
        <v>5.9647324073636002E-2</v>
      </c>
      <c r="FM294" s="5">
        <v>4.2561453676007097E-2</v>
      </c>
      <c r="FN294" s="5">
        <v>0.50310400030444002</v>
      </c>
      <c r="FO294" s="5">
        <v>-0.12937940198561401</v>
      </c>
      <c r="FP294" s="5">
        <v>0.696726417965159</v>
      </c>
      <c r="FQ294" s="5">
        <v>-0.43287523711303</v>
      </c>
      <c r="FR294" s="5">
        <v>-0.110504658639159</v>
      </c>
      <c r="FS294" s="5">
        <v>5.3153891924208E-3</v>
      </c>
      <c r="FT294" s="5">
        <v>0.86967806530775205</v>
      </c>
      <c r="FU294" s="5">
        <v>-0.612711664442527</v>
      </c>
      <c r="FV294" s="5">
        <v>0.39839260799339299</v>
      </c>
      <c r="FW294" s="5">
        <v>-0.111336288619564</v>
      </c>
      <c r="FX294" s="5">
        <v>0.29229706923988802</v>
      </c>
      <c r="FY294" s="5">
        <v>-9.4533680762321701E-2</v>
      </c>
      <c r="FZ294" s="5">
        <v>0.84150453001541203</v>
      </c>
      <c r="GA294" s="5">
        <v>-0.57003421072193605</v>
      </c>
      <c r="GB294" s="5">
        <v>0.20705129171764</v>
      </c>
      <c r="GC294" s="5">
        <v>0.15244966647852601</v>
      </c>
      <c r="GD294" s="5">
        <v>4.0014942299364198E-2</v>
      </c>
      <c r="GE294" s="5">
        <v>3.14526528970571E-2</v>
      </c>
      <c r="GF294" s="5">
        <v>0.29003340676977102</v>
      </c>
      <c r="GG294" s="5">
        <v>1.6213800869963501E-2</v>
      </c>
      <c r="GH294" s="5">
        <v>-0.18658091170449201</v>
      </c>
      <c r="GI294" s="5">
        <v>0.199566069116173</v>
      </c>
      <c r="GJ294" s="5">
        <v>0.27726503165525801</v>
      </c>
      <c r="GK294" s="5">
        <v>-7.4881686892770999E-2</v>
      </c>
      <c r="GL294" s="5">
        <v>0.107519937659092</v>
      </c>
      <c r="GM294" s="5">
        <v>5.58658185155178E-2</v>
      </c>
      <c r="GN294" s="5">
        <v>0.25923589666809499</v>
      </c>
      <c r="GO294" s="5">
        <v>8.9418223527539004E-2</v>
      </c>
      <c r="GP294" s="5">
        <v>0.54365567377342305</v>
      </c>
      <c r="GQ294" s="5">
        <v>-0.26654880994325297</v>
      </c>
      <c r="GR294" s="5">
        <v>0.36146164264028802</v>
      </c>
      <c r="GS294" s="5">
        <v>-0.18167086715543199</v>
      </c>
      <c r="GT294" s="5">
        <v>0.781573196555716</v>
      </c>
      <c r="GU294" s="5">
        <v>-0.52895118126801099</v>
      </c>
      <c r="GV294" s="5">
        <v>0.217409740327701</v>
      </c>
      <c r="GW294" s="5">
        <v>1.6417926279786998E-2</v>
      </c>
      <c r="GX294" s="5">
        <v>0.63243245550188099</v>
      </c>
      <c r="GY294" s="5">
        <v>-0.37697127220105298</v>
      </c>
      <c r="GZ294" s="5">
        <v>-0.23904371502687499</v>
      </c>
      <c r="HA294" s="5">
        <v>0.33079910979285398</v>
      </c>
      <c r="HB294" s="5">
        <v>0.30721379322592901</v>
      </c>
      <c r="HC294" s="5">
        <v>-2.48865991425028E-2</v>
      </c>
      <c r="HD294" s="5">
        <v>0.271628879385717</v>
      </c>
      <c r="HE294" s="5">
        <v>0.19026975162314999</v>
      </c>
      <c r="HF294" s="5">
        <v>2.53826996651332E-2</v>
      </c>
      <c r="HG294" s="5">
        <v>2.4475865720456999E-2</v>
      </c>
      <c r="HH294" s="5">
        <v>-2.6781731471595498E-2</v>
      </c>
      <c r="HI294" s="5">
        <v>0.23434975235847799</v>
      </c>
      <c r="HJ294" s="5">
        <v>1.6362892352931601E-2</v>
      </c>
      <c r="HK294" s="5">
        <v>2.0003783193363E-2</v>
      </c>
      <c r="HL294" s="5">
        <v>0.479103674882496</v>
      </c>
      <c r="HM294" s="5">
        <v>-0.13485037325642299</v>
      </c>
      <c r="HN294" s="5">
        <v>0.135179938502174</v>
      </c>
      <c r="HO294" s="5">
        <v>0.11561701122191</v>
      </c>
      <c r="HP294" s="5">
        <v>0.38736626384800799</v>
      </c>
      <c r="HQ294" s="5">
        <v>-7.9505432813435098E-2</v>
      </c>
      <c r="HR294" s="5">
        <v>0.55261268345943004</v>
      </c>
      <c r="HS294" s="5">
        <v>-0.30787898820482401</v>
      </c>
      <c r="HT294" s="5">
        <v>0.153179153279694</v>
      </c>
      <c r="HU294" s="5">
        <v>0.12502921308923901</v>
      </c>
      <c r="HV294" s="5">
        <v>0.38157908637110899</v>
      </c>
      <c r="HW294" s="5">
        <v>-0.142642225001682</v>
      </c>
      <c r="HX294" s="5">
        <v>0.50106666406273204</v>
      </c>
      <c r="HY294" s="5">
        <v>-0.24236492170089499</v>
      </c>
      <c r="HZ294" s="5">
        <v>-7.3970071886038199E-2</v>
      </c>
      <c r="IA294" s="5">
        <v>0.270818907863208</v>
      </c>
      <c r="IB294" s="5">
        <v>-0.15703404779581601</v>
      </c>
      <c r="IC294" s="5">
        <v>0.14687422907504</v>
      </c>
      <c r="ID294" s="5">
        <v>0.28769642525723699</v>
      </c>
      <c r="IE294" s="5">
        <v>8.1104424285451004E-2</v>
      </c>
      <c r="IF294" s="5">
        <v>0.392353982068947</v>
      </c>
      <c r="IG294" s="5">
        <v>-0.12956149137502601</v>
      </c>
      <c r="IH294" s="5">
        <v>0.143103794557116</v>
      </c>
      <c r="II294" s="5">
        <v>1.1770995424196601E-2</v>
      </c>
      <c r="IJ294" s="5">
        <v>0.30976321508094701</v>
      </c>
      <c r="IK294" s="5">
        <v>-0.20667921195008801</v>
      </c>
      <c r="IL294" s="5">
        <v>0.37576161878350001</v>
      </c>
      <c r="IM294" s="5">
        <v>-5.8307009276786101E-2</v>
      </c>
      <c r="IN294" s="5">
        <v>0.431148513081208</v>
      </c>
      <c r="IO294" s="5">
        <v>-0.18201361502617</v>
      </c>
      <c r="IP294" s="5">
        <v>0.290956910097944</v>
      </c>
      <c r="IQ294" s="5">
        <v>0.109716463661565</v>
      </c>
      <c r="IR294" s="5">
        <v>0.20388291272329101</v>
      </c>
      <c r="IS294" s="5">
        <v>8.6312875578303194E-2</v>
      </c>
      <c r="IT294" s="5">
        <v>0.46398967905398703</v>
      </c>
      <c r="IU294" s="5">
        <v>-0.21945754455949801</v>
      </c>
      <c r="IV294" s="5">
        <v>0.22198171812099099</v>
      </c>
      <c r="IW294" s="5">
        <v>-9.3850108283914397E-3</v>
      </c>
      <c r="IX294" s="5">
        <v>0.25123490270041199</v>
      </c>
      <c r="IY294" s="5">
        <v>-5.0062591270960001E-2</v>
      </c>
      <c r="IZ294" s="5">
        <v>1.24241788356235E-3</v>
      </c>
      <c r="JA294" s="5">
        <v>0.183253397147424</v>
      </c>
      <c r="JB294" s="5">
        <v>-8.9591406179012401E-2</v>
      </c>
      <c r="JC294" s="5">
        <v>5.6819891635903903E-2</v>
      </c>
      <c r="JD294" s="5">
        <v>0.33772378211496701</v>
      </c>
      <c r="JE294" s="5">
        <v>0.158930902528617</v>
      </c>
      <c r="JF294" s="5">
        <v>0.28921883537442999</v>
      </c>
      <c r="JG294" s="5">
        <v>-0.20635769806166401</v>
      </c>
      <c r="JH294" s="5">
        <v>0.29359546753875199</v>
      </c>
      <c r="JI294" s="5">
        <v>-0.117598849308093</v>
      </c>
      <c r="JJ294" s="5">
        <v>0.47704742507676501</v>
      </c>
      <c r="JK294" s="5">
        <v>-0.13710691320486301</v>
      </c>
      <c r="JL294" s="5">
        <v>0.364648921914484</v>
      </c>
      <c r="JM294" s="5">
        <v>4.3573493486132701E-3</v>
      </c>
      <c r="JN294" s="5">
        <v>0.25713282103178797</v>
      </c>
      <c r="JO294" s="5">
        <v>-2.7604604784640899E-2</v>
      </c>
      <c r="JP294" s="5">
        <v>0.54876316567604499</v>
      </c>
      <c r="JQ294" s="5">
        <v>-0.21598987513732201</v>
      </c>
      <c r="JR294" s="5">
        <v>0.43385483054132301</v>
      </c>
      <c r="JS294" s="5">
        <v>-0.21774981963769599</v>
      </c>
      <c r="JT294" s="5">
        <v>0.40400560641573102</v>
      </c>
      <c r="JU294" s="5">
        <v>-0.28008021358358598</v>
      </c>
      <c r="JV294" s="5">
        <v>0.38294418251009099</v>
      </c>
      <c r="JW294" s="5">
        <v>-0.10404562719551801</v>
      </c>
      <c r="JX294" s="5">
        <v>-1.35871800726659E-2</v>
      </c>
      <c r="JY294" s="5">
        <v>0.13972815242585199</v>
      </c>
      <c r="JZ294" s="5">
        <v>0.169982568678408</v>
      </c>
      <c r="KA294" s="5">
        <v>1.8969088453083101E-2</v>
      </c>
      <c r="KB294" s="5">
        <v>-8.1506815781215894E-2</v>
      </c>
      <c r="KC294" s="5">
        <v>0.21744675407070299</v>
      </c>
      <c r="KD294" s="5">
        <v>0.38720738328035897</v>
      </c>
      <c r="KE294" s="5">
        <v>-8.0128956814646199E-2</v>
      </c>
      <c r="KF294" s="5">
        <v>0.37701225944029898</v>
      </c>
      <c r="KG294" s="5">
        <v>-0.13696864770657599</v>
      </c>
      <c r="KH294" s="5">
        <v>1</v>
      </c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</row>
    <row r="295" spans="1:389" x14ac:dyDescent="0.45">
      <c r="A295" s="4" t="str">
        <f ca="1">"PSE / beta2dist in "&amp;CELL("address",'damages-1990'!$K$148)</f>
        <v>PSE / beta2dist in '[BHM betas v3pd.xlsx]damages-1990'!$K$148</v>
      </c>
      <c r="B295" s="6">
        <v>-8.7382177402493794E-2</v>
      </c>
      <c r="C295" s="5">
        <v>0.120867531832776</v>
      </c>
      <c r="D295" s="5">
        <v>4.5716270906078799E-2</v>
      </c>
      <c r="E295" s="5">
        <v>7.4894213845865601E-2</v>
      </c>
      <c r="F295" s="5">
        <v>-0.159465625805602</v>
      </c>
      <c r="G295" s="5">
        <v>0.22856980506514701</v>
      </c>
      <c r="H295" s="5">
        <v>-3.07263126135905E-3</v>
      </c>
      <c r="I295" s="5">
        <v>-8.2057381295156995E-2</v>
      </c>
      <c r="J295" s="5">
        <v>-8.1210237390026599E-2</v>
      </c>
      <c r="K295" s="5">
        <v>0.232036602616216</v>
      </c>
      <c r="L295" s="5">
        <v>-0.104488204020547</v>
      </c>
      <c r="M295" s="5">
        <v>0.17942446884715299</v>
      </c>
      <c r="N295" s="5">
        <v>0.23134027522797501</v>
      </c>
      <c r="O295" s="5">
        <v>-0.42638266442420603</v>
      </c>
      <c r="P295" s="5">
        <v>0.16337672341916301</v>
      </c>
      <c r="Q295" s="5">
        <v>-6.6256919235143902E-2</v>
      </c>
      <c r="R295" s="5">
        <v>-0.11424278771976699</v>
      </c>
      <c r="S295" s="5">
        <v>0.25013054901069398</v>
      </c>
      <c r="T295" s="5">
        <v>0.17430323556281299</v>
      </c>
      <c r="U295" s="5">
        <v>-0.25358881866147598</v>
      </c>
      <c r="V295" s="5">
        <v>-0.121421756602888</v>
      </c>
      <c r="W295" s="5">
        <v>0.120950897649395</v>
      </c>
      <c r="X295" s="5">
        <v>-2.18689949800175E-2</v>
      </c>
      <c r="Y295" s="5">
        <v>0.12569410692504501</v>
      </c>
      <c r="Z295" s="5">
        <v>2.65375693052077E-2</v>
      </c>
      <c r="AA295" s="5">
        <v>-7.0608583423320798E-2</v>
      </c>
      <c r="AB295" s="5">
        <v>2.7809628129410398E-2</v>
      </c>
      <c r="AC295" s="5">
        <v>7.4525080023205001E-2</v>
      </c>
      <c r="AD295" s="5">
        <v>-3.3604192288799899E-2</v>
      </c>
      <c r="AE295" s="5">
        <v>0.121866391167525</v>
      </c>
      <c r="AF295" s="5">
        <v>5.1942581499586499E-2</v>
      </c>
      <c r="AG295" s="5">
        <v>1.97289132898897E-2</v>
      </c>
      <c r="AH295" s="5">
        <v>-7.3714203812293003E-2</v>
      </c>
      <c r="AI295" s="5">
        <v>8.4001943137464605E-2</v>
      </c>
      <c r="AJ295" s="5">
        <v>-0.14175791284922501</v>
      </c>
      <c r="AK295" s="5">
        <v>0.295907523450677</v>
      </c>
      <c r="AL295" s="5">
        <v>0.11754843286168699</v>
      </c>
      <c r="AM295" s="5">
        <v>-7.1639495895632302E-2</v>
      </c>
      <c r="AN295" s="5">
        <v>8.4643789499785696E-2</v>
      </c>
      <c r="AO295" s="5">
        <v>-0.13961354025495601</v>
      </c>
      <c r="AP295" s="5">
        <v>-0.230398749033915</v>
      </c>
      <c r="AQ295" s="5">
        <v>0.23961750055087899</v>
      </c>
      <c r="AR295" s="5">
        <v>0.122402559930575</v>
      </c>
      <c r="AS295" s="5">
        <v>-2.47782335901751E-2</v>
      </c>
      <c r="AT295" s="5">
        <v>0.14822494164528699</v>
      </c>
      <c r="AU295" s="5">
        <v>-0.147598678144781</v>
      </c>
      <c r="AV295" s="5">
        <v>-7.5266032439603794E-2</v>
      </c>
      <c r="AW295" s="5">
        <v>0.24170334082359801</v>
      </c>
      <c r="AX295" s="5">
        <v>3.6248796555420099E-2</v>
      </c>
      <c r="AY295" s="5">
        <v>7.6403883538638598E-2</v>
      </c>
      <c r="AZ295" s="5">
        <v>0.18816502985749001</v>
      </c>
      <c r="BA295" s="5">
        <v>-4.8593097907698501E-2</v>
      </c>
      <c r="BB295" s="5">
        <v>-5.1466232865506001E-2</v>
      </c>
      <c r="BC295" s="5">
        <v>0.179938626082668</v>
      </c>
      <c r="BD295" s="5">
        <v>-0.13310842805924999</v>
      </c>
      <c r="BE295" s="5">
        <v>0.17319574916514299</v>
      </c>
      <c r="BF295" s="5">
        <v>0.14826042155473601</v>
      </c>
      <c r="BG295" s="5">
        <v>-8.7874179582939194E-2</v>
      </c>
      <c r="BH295" s="5">
        <v>9.4298269828197903E-2</v>
      </c>
      <c r="BI295" s="5">
        <v>4.9036787918504902E-2</v>
      </c>
      <c r="BJ295" s="5">
        <v>9.98431388955855E-3</v>
      </c>
      <c r="BK295" s="5">
        <v>-0.15965611605334101</v>
      </c>
      <c r="BL295" s="5">
        <v>0.171988337280579</v>
      </c>
      <c r="BM295" s="5">
        <v>-0.27124965610185198</v>
      </c>
      <c r="BN295" s="5">
        <v>-0.114511853974961</v>
      </c>
      <c r="BO295" s="5">
        <v>5.9895726021560201E-2</v>
      </c>
      <c r="BP295" s="5">
        <v>-0.12573809002856901</v>
      </c>
      <c r="BQ295" s="5">
        <v>7.0695529922956801E-2</v>
      </c>
      <c r="BR295" s="5">
        <v>-8.4512587091817706E-2</v>
      </c>
      <c r="BS295" s="5">
        <v>0.164484099648497</v>
      </c>
      <c r="BT295" s="5">
        <v>5.4782121630959097E-3</v>
      </c>
      <c r="BU295" s="5">
        <v>0.156734928837508</v>
      </c>
      <c r="BV295" s="5">
        <v>-7.2715755942954693E-2</v>
      </c>
      <c r="BW295" s="5">
        <v>0.21929065359637201</v>
      </c>
      <c r="BX295" s="5">
        <v>-0.101774850045928</v>
      </c>
      <c r="BY295" s="5">
        <v>0.24619261111019899</v>
      </c>
      <c r="BZ295" s="5">
        <v>-0.11293864982808099</v>
      </c>
      <c r="CA295" s="5">
        <v>0.20186171767866901</v>
      </c>
      <c r="CB295" s="5">
        <v>-3.2675493697792997E-2</v>
      </c>
      <c r="CC295" s="5">
        <v>0.16903793855965599</v>
      </c>
      <c r="CD295" s="5">
        <v>0.202896788578002</v>
      </c>
      <c r="CE295" s="5">
        <v>-0.16958860604314799</v>
      </c>
      <c r="CF295" s="5">
        <v>0.193818480869653</v>
      </c>
      <c r="CG295" s="5">
        <v>-9.7916654950022899E-2</v>
      </c>
      <c r="CH295" s="5">
        <v>0.220247251253193</v>
      </c>
      <c r="CI295" s="5">
        <v>-0.19336710632425899</v>
      </c>
      <c r="CJ295" s="5">
        <v>-0.47515274026742599</v>
      </c>
      <c r="CK295" s="5">
        <v>0.640338389539445</v>
      </c>
      <c r="CL295" s="5">
        <v>8.9766089935260501E-2</v>
      </c>
      <c r="CM295" s="5">
        <v>-0.152106053499312</v>
      </c>
      <c r="CN295" s="5">
        <v>1.7150517647756099E-2</v>
      </c>
      <c r="CO295" s="5">
        <v>-6.9529184586549497E-2</v>
      </c>
      <c r="CP295" s="5">
        <v>-0.112994360428393</v>
      </c>
      <c r="CQ295" s="5">
        <v>0.196123372914039</v>
      </c>
      <c r="CR295" s="5">
        <v>0.151093112401462</v>
      </c>
      <c r="CS295" s="5">
        <v>-3.5436156869221698E-2</v>
      </c>
      <c r="CT295" s="5">
        <v>-8.2970029273568405E-2</v>
      </c>
      <c r="CU295" s="5">
        <v>6.4648404848619903E-2</v>
      </c>
      <c r="CV295" s="5">
        <v>3.6978624387775397E-2</v>
      </c>
      <c r="CW295" s="5">
        <v>8.6345051949840906E-2</v>
      </c>
      <c r="CX295" s="5">
        <v>-0.24859043573137801</v>
      </c>
      <c r="CY295" s="5">
        <v>0.39531036927881402</v>
      </c>
      <c r="CZ295" s="5">
        <v>-2.3958479797931101E-2</v>
      </c>
      <c r="DA295" s="5">
        <v>6.7055428302938105E-2</v>
      </c>
      <c r="DB295" s="5">
        <v>-0.37983426427791001</v>
      </c>
      <c r="DC295" s="5">
        <v>0.62206302685780601</v>
      </c>
      <c r="DD295" s="5">
        <v>-6.0308511960167899E-2</v>
      </c>
      <c r="DE295" s="5">
        <v>0.16536058926185501</v>
      </c>
      <c r="DF295" s="5">
        <v>0.11495466117960899</v>
      </c>
      <c r="DG295" s="5">
        <v>-4.2055781878481302E-2</v>
      </c>
      <c r="DH295" s="5">
        <v>-0.105981250938991</v>
      </c>
      <c r="DI295" s="5">
        <v>0.192526531396638</v>
      </c>
      <c r="DJ295" s="5">
        <v>-0.28145780542160198</v>
      </c>
      <c r="DK295" s="5">
        <v>0.28617358996350301</v>
      </c>
      <c r="DL295" s="5">
        <v>4.0083133089977997E-2</v>
      </c>
      <c r="DM295" s="5">
        <v>0.118076511641773</v>
      </c>
      <c r="DN295" s="5">
        <v>-0.22567027606617401</v>
      </c>
      <c r="DO295" s="5">
        <v>0.209072034186673</v>
      </c>
      <c r="DP295" s="5">
        <v>-6.04662598135811E-2</v>
      </c>
      <c r="DQ295" s="5">
        <v>8.8161148282379406E-2</v>
      </c>
      <c r="DR295" s="5">
        <v>-3.6328263450862701E-2</v>
      </c>
      <c r="DS295" s="5">
        <v>1.7435983860474999E-2</v>
      </c>
      <c r="DT295" s="5">
        <v>-0.26521881372609801</v>
      </c>
      <c r="DU295" s="5">
        <v>0.31664444017243698</v>
      </c>
      <c r="DV295" s="5">
        <v>-0.110737954094212</v>
      </c>
      <c r="DW295" s="5">
        <v>0.21159505522938901</v>
      </c>
      <c r="DX295" s="5">
        <v>-0.121958037122397</v>
      </c>
      <c r="DY295" s="5">
        <v>0.12834029832671501</v>
      </c>
      <c r="DZ295" s="5">
        <v>0.17445084524380999</v>
      </c>
      <c r="EA295" s="5">
        <v>-0.35817694769664599</v>
      </c>
      <c r="EB295" s="5">
        <v>-4.5745511600612104E-3</v>
      </c>
      <c r="EC295" s="5">
        <v>0.12545632569873699</v>
      </c>
      <c r="ED295" s="5">
        <v>-4.4122387539052697E-2</v>
      </c>
      <c r="EE295" s="5">
        <v>0.137179374528554</v>
      </c>
      <c r="EF295" s="5">
        <v>0.157218413942187</v>
      </c>
      <c r="EG295" s="5">
        <v>-5.5298486573264603E-2</v>
      </c>
      <c r="EH295" s="5">
        <v>1.40317839712439E-2</v>
      </c>
      <c r="EI295" s="5">
        <v>0.10878000933024901</v>
      </c>
      <c r="EJ295" s="5">
        <v>-4.76057650625114E-2</v>
      </c>
      <c r="EK295" s="5">
        <v>0.14926802846839701</v>
      </c>
      <c r="EL295" s="5">
        <v>1.68101599777605E-3</v>
      </c>
      <c r="EM295" s="5">
        <v>0.132360561192535</v>
      </c>
      <c r="EN295" s="5">
        <v>-0.413789641905209</v>
      </c>
      <c r="EO295" s="5">
        <v>0.53983026070397699</v>
      </c>
      <c r="EP295" s="5">
        <v>0.17377490518411201</v>
      </c>
      <c r="EQ295" s="5">
        <v>-2.6929721337134001E-2</v>
      </c>
      <c r="ER295" s="5">
        <v>0.108765129097067</v>
      </c>
      <c r="ES295" s="5">
        <v>-2.4373518776434799E-2</v>
      </c>
      <c r="ET295" s="5">
        <v>0.32732837933465198</v>
      </c>
      <c r="EU295" s="5">
        <v>-0.22443977137857499</v>
      </c>
      <c r="EV295" s="5">
        <v>9.5045946361742004E-2</v>
      </c>
      <c r="EW295" s="5">
        <v>7.17038172684413E-2</v>
      </c>
      <c r="EX295" s="5">
        <v>0.24952665502240601</v>
      </c>
      <c r="EY295" s="5">
        <v>-0.155502308478421</v>
      </c>
      <c r="EZ295" s="5">
        <v>9.9867273186580799E-2</v>
      </c>
      <c r="FA295" s="5">
        <v>5.7200843762698697E-2</v>
      </c>
      <c r="FB295" s="5">
        <v>-2.1537961232782999E-2</v>
      </c>
      <c r="FC295" s="5">
        <v>1.6968520944082899E-2</v>
      </c>
      <c r="FD295" s="5">
        <v>8.0903339392451507E-2</v>
      </c>
      <c r="FE295" s="5">
        <v>4.5933304066907703E-2</v>
      </c>
      <c r="FF295" s="5">
        <v>-2.89400312646113E-2</v>
      </c>
      <c r="FG295" s="5">
        <v>2.0749821643073402E-2</v>
      </c>
      <c r="FH295" s="5">
        <v>1.7919602195802301E-2</v>
      </c>
      <c r="FI295" s="5">
        <v>0.124100272044172</v>
      </c>
      <c r="FJ295" s="5">
        <v>0.121772317056473</v>
      </c>
      <c r="FK295" s="5">
        <v>-5.8880896384045298E-2</v>
      </c>
      <c r="FL295" s="5">
        <v>-0.16104875335434801</v>
      </c>
      <c r="FM295" s="5">
        <v>0.18231947181361099</v>
      </c>
      <c r="FN295" s="5">
        <v>-0.20197728636746201</v>
      </c>
      <c r="FO295" s="5">
        <v>0.31556533035922102</v>
      </c>
      <c r="FP295" s="5">
        <v>-0.40163714632811698</v>
      </c>
      <c r="FQ295" s="5">
        <v>0.61969774759057406</v>
      </c>
      <c r="FR295" s="5">
        <v>3.3102388008629802E-2</v>
      </c>
      <c r="FS295" s="5">
        <v>2.99662080189191E-2</v>
      </c>
      <c r="FT295" s="5">
        <v>-0.56581686455762004</v>
      </c>
      <c r="FU295" s="5">
        <v>0.84672352546398399</v>
      </c>
      <c r="FV295" s="5">
        <v>-0.13323431360381999</v>
      </c>
      <c r="FW295" s="5">
        <v>0.219123456265644</v>
      </c>
      <c r="FX295" s="5">
        <v>7.4185582522799096E-2</v>
      </c>
      <c r="FY295" s="5">
        <v>2.95597429146984E-2</v>
      </c>
      <c r="FZ295" s="5">
        <v>-0.51809992671160199</v>
      </c>
      <c r="GA295" s="5">
        <v>0.81398587101382303</v>
      </c>
      <c r="GB295" s="5">
        <v>-7.5685928833237104E-2</v>
      </c>
      <c r="GC295" s="5">
        <v>7.3726219051047703E-2</v>
      </c>
      <c r="GD295" s="5">
        <v>-0.188837209514856</v>
      </c>
      <c r="GE295" s="5">
        <v>0.178525808776555</v>
      </c>
      <c r="GF295" s="5">
        <v>0.17425534270343301</v>
      </c>
      <c r="GG295" s="5">
        <v>-5.6685493859899197E-2</v>
      </c>
      <c r="GH295" s="5">
        <v>7.4479436082661596E-2</v>
      </c>
      <c r="GI295" s="5">
        <v>-0.196769565201528</v>
      </c>
      <c r="GJ295" s="5">
        <v>0.20541269390469499</v>
      </c>
      <c r="GK295" s="5">
        <v>-8.1155477782947502E-2</v>
      </c>
      <c r="GL295" s="5">
        <v>0.10000727991559399</v>
      </c>
      <c r="GM295" s="5">
        <v>4.8970655904791698E-3</v>
      </c>
      <c r="GN295" s="5">
        <v>-0.10442290654985099</v>
      </c>
      <c r="GO295" s="5">
        <v>0.16373433649531199</v>
      </c>
      <c r="GP295" s="5">
        <v>-0.21343211911247401</v>
      </c>
      <c r="GQ295" s="5">
        <v>0.40917236893855202</v>
      </c>
      <c r="GR295" s="5">
        <v>7.9374873499414106E-2</v>
      </c>
      <c r="GS295" s="5">
        <v>9.32042991405201E-2</v>
      </c>
      <c r="GT295" s="5">
        <v>-0.51103270307076798</v>
      </c>
      <c r="GU295" s="5">
        <v>0.73732433740000103</v>
      </c>
      <c r="GV295" s="5">
        <v>1.0695913270735101E-2</v>
      </c>
      <c r="GW295" s="5">
        <v>4.02939655790166E-2</v>
      </c>
      <c r="GX295" s="5">
        <v>-0.33198368879899898</v>
      </c>
      <c r="GY295" s="5">
        <v>0.50975518984007395</v>
      </c>
      <c r="GZ295" s="5">
        <v>0.17373880326864399</v>
      </c>
      <c r="HA295" s="5">
        <v>-0.266638078953369</v>
      </c>
      <c r="HB295" s="5">
        <v>0.14506930427575801</v>
      </c>
      <c r="HC295" s="5">
        <v>-8.0881773532072307E-2</v>
      </c>
      <c r="HD295" s="5">
        <v>-5.0192970805246498E-2</v>
      </c>
      <c r="HE295" s="5">
        <v>6.14998459811005E-3</v>
      </c>
      <c r="HF295" s="5">
        <v>-0.23744564856702399</v>
      </c>
      <c r="HG295" s="5">
        <v>0.247088912325091</v>
      </c>
      <c r="HH295" s="5">
        <v>3.79935083595569E-2</v>
      </c>
      <c r="HI295" s="5">
        <v>-9.6068872793424603E-2</v>
      </c>
      <c r="HJ295" s="5">
        <v>-0.25109014283317599</v>
      </c>
      <c r="HK295" s="5">
        <v>0.25372138203213901</v>
      </c>
      <c r="HL295" s="5">
        <v>-6.7928907235419195E-2</v>
      </c>
      <c r="HM295" s="5">
        <v>0.159143044288825</v>
      </c>
      <c r="HN295" s="5">
        <v>-5.45362358594546E-2</v>
      </c>
      <c r="HO295" s="5">
        <v>3.6904757861521101E-2</v>
      </c>
      <c r="HP295" s="5">
        <v>-1.4662112327063E-3</v>
      </c>
      <c r="HQ295" s="5">
        <v>0.16278309828318399</v>
      </c>
      <c r="HR295" s="5">
        <v>-4.5420703499132097E-2</v>
      </c>
      <c r="HS295" s="5">
        <v>0.224793790412079</v>
      </c>
      <c r="HT295" s="5">
        <v>-4.6959755609975097E-2</v>
      </c>
      <c r="HU295" s="5">
        <v>5.0107534999908797E-2</v>
      </c>
      <c r="HV295" s="5">
        <v>-0.12543688229033001</v>
      </c>
      <c r="HW295" s="5">
        <v>0.26893246888684302</v>
      </c>
      <c r="HX295" s="5">
        <v>-0.101317993532841</v>
      </c>
      <c r="HY295" s="5">
        <v>0.26367602411296598</v>
      </c>
      <c r="HZ295" s="5">
        <v>0.110115313735211</v>
      </c>
      <c r="IA295" s="5">
        <v>-0.18288764065688401</v>
      </c>
      <c r="IB295" s="5">
        <v>-9.05830320843522E-2</v>
      </c>
      <c r="IC295" s="5">
        <v>5.2814824693850099E-2</v>
      </c>
      <c r="ID295" s="5">
        <v>0.115094192163734</v>
      </c>
      <c r="IE295" s="5">
        <v>-7.33554391949502E-3</v>
      </c>
      <c r="IF295" s="5">
        <v>-5.3473800879295097E-2</v>
      </c>
      <c r="IG295" s="5">
        <v>0.203706257735774</v>
      </c>
      <c r="IH295" s="5">
        <v>0.16691671144603701</v>
      </c>
      <c r="II295" s="5">
        <v>-4.0578179993839697E-2</v>
      </c>
      <c r="IJ295" s="5">
        <v>-5.9425664651567997E-2</v>
      </c>
      <c r="IK295" s="5">
        <v>0.14331483323840399</v>
      </c>
      <c r="IL295" s="5">
        <v>1.3084561506138399E-3</v>
      </c>
      <c r="IM295" s="5">
        <v>0.167027779478261</v>
      </c>
      <c r="IN295" s="5">
        <v>2.7290537968221101E-2</v>
      </c>
      <c r="IO295" s="5">
        <v>0.11604170528947</v>
      </c>
      <c r="IP295" s="5">
        <v>0.155939220424649</v>
      </c>
      <c r="IQ295" s="5">
        <v>-0.13487016780208899</v>
      </c>
      <c r="IR295" s="5">
        <v>0.12503084041114801</v>
      </c>
      <c r="IS295" s="5">
        <v>-0.15459483960111101</v>
      </c>
      <c r="IT295" s="5">
        <v>-0.18138809501911399</v>
      </c>
      <c r="IU295" s="5">
        <v>0.34245747302379098</v>
      </c>
      <c r="IV295" s="5">
        <v>-3.3831036948918702E-2</v>
      </c>
      <c r="IW295" s="5">
        <v>0.15989438388188601</v>
      </c>
      <c r="IX295" s="5">
        <v>0.108354057827918</v>
      </c>
      <c r="IY295" s="5">
        <v>5.28003333610821E-2</v>
      </c>
      <c r="IZ295" s="5">
        <v>3.2055324637494401E-2</v>
      </c>
      <c r="JA295" s="5">
        <v>-6.9448371931884995E-2</v>
      </c>
      <c r="JB295" s="5">
        <v>-0.19777138363240401</v>
      </c>
      <c r="JC295" s="5">
        <v>0.18897332870342401</v>
      </c>
      <c r="JD295" s="5">
        <v>-2.68523658336914E-2</v>
      </c>
      <c r="JE295" s="5">
        <v>8.2102230052825305E-3</v>
      </c>
      <c r="JF295" s="5">
        <v>-6.5524544285353106E-2</v>
      </c>
      <c r="JG295" s="5">
        <v>0.19470900098605901</v>
      </c>
      <c r="JH295" s="5">
        <v>-0.136317564587117</v>
      </c>
      <c r="JI295" s="5">
        <v>0.13203659681410401</v>
      </c>
      <c r="JJ295" s="5">
        <v>-5.4142925021638103E-2</v>
      </c>
      <c r="JK295" s="5">
        <v>0.21438277217827001</v>
      </c>
      <c r="JL295" s="5">
        <v>4.6022696397834101E-2</v>
      </c>
      <c r="JM295" s="5">
        <v>6.1662795529846902E-2</v>
      </c>
      <c r="JN295" s="5">
        <v>4.9095143414001202E-2</v>
      </c>
      <c r="JO295" s="5">
        <v>2.62350850402681E-2</v>
      </c>
      <c r="JP295" s="5">
        <v>-7.1445879916300706E-2</v>
      </c>
      <c r="JQ295" s="5">
        <v>0.17074737151583999</v>
      </c>
      <c r="JR295" s="5">
        <v>-6.3975996382850703E-2</v>
      </c>
      <c r="JS295" s="5">
        <v>0.29205517334030101</v>
      </c>
      <c r="JT295" s="5">
        <v>-0.197156023238546</v>
      </c>
      <c r="JU295" s="5">
        <v>0.34565411216388497</v>
      </c>
      <c r="JV295" s="5">
        <v>8.4615869611453495E-2</v>
      </c>
      <c r="JW295" s="5">
        <v>4.7894413417527898E-2</v>
      </c>
      <c r="JX295" s="5">
        <v>-6.44870231850459E-2</v>
      </c>
      <c r="JY295" s="5">
        <v>4.4370743697214401E-2</v>
      </c>
      <c r="JZ295" s="5">
        <v>3.5919980838552003E-2</v>
      </c>
      <c r="KA295" s="5">
        <v>5.4736965434275198E-2</v>
      </c>
      <c r="KB295" s="5">
        <v>-0.12704000032033699</v>
      </c>
      <c r="KC295" s="5">
        <v>5.1735746357274598E-2</v>
      </c>
      <c r="KD295" s="5">
        <v>-1.30549634912971E-2</v>
      </c>
      <c r="KE295" s="5">
        <v>0.102216758304395</v>
      </c>
      <c r="KF295" s="5">
        <v>-4.53961139999376E-2</v>
      </c>
      <c r="KG295" s="5">
        <v>9.1878995650185105E-2</v>
      </c>
      <c r="KH295" s="5">
        <v>-0.732683021309532</v>
      </c>
      <c r="KI295" s="5">
        <v>1</v>
      </c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</row>
    <row r="296" spans="1:389" x14ac:dyDescent="0.45">
      <c r="A296" s="4" t="str">
        <f ca="1">"QAT / beta1dist in "&amp;CELL("address",'damages-1990'!$J$149)</f>
        <v>QAT / beta1dist in '[BHM betas v3pd.xlsx]damages-1990'!$J$149</v>
      </c>
      <c r="B296" s="6">
        <v>0.33688054466148498</v>
      </c>
      <c r="C296" s="5">
        <v>-7.8671471878786398E-2</v>
      </c>
      <c r="D296" s="5">
        <v>0.38081691265476503</v>
      </c>
      <c r="E296" s="5">
        <v>-7.5506538669797202E-2</v>
      </c>
      <c r="F296" s="5">
        <v>0.12834120183230299</v>
      </c>
      <c r="G296" s="5">
        <v>0.10314126620090899</v>
      </c>
      <c r="H296" s="5">
        <v>-0.343267910712515</v>
      </c>
      <c r="I296" s="5">
        <v>0.381389886970664</v>
      </c>
      <c r="J296" s="5">
        <v>0.83818113702335995</v>
      </c>
      <c r="K296" s="5">
        <v>-0.60525759818449998</v>
      </c>
      <c r="L296" s="5">
        <v>0.47646979035206</v>
      </c>
      <c r="M296" s="5">
        <v>-0.25792817006786001</v>
      </c>
      <c r="N296" s="5">
        <v>-0.30937222915248302</v>
      </c>
      <c r="O296" s="5">
        <v>0.36623418410384601</v>
      </c>
      <c r="P296" s="5">
        <v>0.206966553785638</v>
      </c>
      <c r="Q296" s="5">
        <v>-5.91233328669514E-2</v>
      </c>
      <c r="R296" s="5">
        <v>0.48118203239391799</v>
      </c>
      <c r="S296" s="5">
        <v>-0.180190986762292</v>
      </c>
      <c r="T296" s="5">
        <v>-0.20359262269500999</v>
      </c>
      <c r="U296" s="5">
        <v>0.23560532434265299</v>
      </c>
      <c r="V296" s="5">
        <v>0.151588549203304</v>
      </c>
      <c r="W296" s="5">
        <v>0.25057300548148598</v>
      </c>
      <c r="X296" s="5">
        <v>0.42248070379341701</v>
      </c>
      <c r="Y296" s="5">
        <v>-0.14339918638419299</v>
      </c>
      <c r="Z296" s="5">
        <v>-0.1398453316929</v>
      </c>
      <c r="AA296" s="5">
        <v>0.28689468338005403</v>
      </c>
      <c r="AB296" s="5">
        <v>0.46699126359116899</v>
      </c>
      <c r="AC296" s="5">
        <v>-0.290178194696673</v>
      </c>
      <c r="AD296" s="5">
        <v>0.49455784541618603</v>
      </c>
      <c r="AE296" s="5">
        <v>-0.26945775250866999</v>
      </c>
      <c r="AF296" s="5">
        <v>0.36234139054832298</v>
      </c>
      <c r="AG296" s="5">
        <v>-0.147082332656746</v>
      </c>
      <c r="AH296" s="5">
        <v>1.6737592612621199E-2</v>
      </c>
      <c r="AI296" s="5">
        <v>0.192026619336882</v>
      </c>
      <c r="AJ296" s="5">
        <v>0.873055109123136</v>
      </c>
      <c r="AK296" s="5">
        <v>-0.61063204627010204</v>
      </c>
      <c r="AL296" s="5">
        <v>0.26882735527621798</v>
      </c>
      <c r="AM296" s="5">
        <v>-9.5860584764764598E-2</v>
      </c>
      <c r="AN296" s="5">
        <v>-5.9041458770988597E-2</v>
      </c>
      <c r="AO296" s="5">
        <v>0.183329345858218</v>
      </c>
      <c r="AP296" s="5">
        <v>-0.22618847950165699</v>
      </c>
      <c r="AQ296" s="5">
        <v>0.25030895246309998</v>
      </c>
      <c r="AR296" s="5">
        <v>0.391112929875221</v>
      </c>
      <c r="AS296" s="5">
        <v>-0.123838295721069</v>
      </c>
      <c r="AT296" s="5">
        <v>0.27871643372224703</v>
      </c>
      <c r="AU296" s="5">
        <v>-9.7036768499291201E-2</v>
      </c>
      <c r="AV296" s="5">
        <v>0.50908634550471099</v>
      </c>
      <c r="AW296" s="5">
        <v>-0.191900828010278</v>
      </c>
      <c r="AX296" s="5">
        <v>0.56618284424101395</v>
      </c>
      <c r="AY296" s="5">
        <v>-0.27233918238263999</v>
      </c>
      <c r="AZ296" s="5">
        <v>0.34483709900821202</v>
      </c>
      <c r="BA296" s="5">
        <v>-0.21146396588300101</v>
      </c>
      <c r="BB296" s="5">
        <v>0.51770285718472997</v>
      </c>
      <c r="BC296" s="5">
        <v>-0.23937356036979801</v>
      </c>
      <c r="BD296" s="5">
        <v>6.6180276828183296E-2</v>
      </c>
      <c r="BE296" s="5">
        <v>0.230164070902455</v>
      </c>
      <c r="BF296" s="5">
        <v>0.31037887324685798</v>
      </c>
      <c r="BG296" s="5">
        <v>-3.6368323601780703E-2</v>
      </c>
      <c r="BH296" s="5">
        <v>0.60057754446615996</v>
      </c>
      <c r="BI296" s="5">
        <v>-0.36135070124180002</v>
      </c>
      <c r="BJ296" s="5">
        <v>-0.34209253103806297</v>
      </c>
      <c r="BK296" s="5">
        <v>0.274480655461669</v>
      </c>
      <c r="BL296" s="5">
        <v>-0.22569965197425099</v>
      </c>
      <c r="BM296" s="5">
        <v>0.26030392189627699</v>
      </c>
      <c r="BN296" s="5">
        <v>-0.18032680522778699</v>
      </c>
      <c r="BO296" s="5">
        <v>0.32082853496227198</v>
      </c>
      <c r="BP296" s="5">
        <v>-0.23601483523372399</v>
      </c>
      <c r="BQ296" s="5">
        <v>0.39368731872596602</v>
      </c>
      <c r="BR296" s="5">
        <v>0.46093113553520698</v>
      </c>
      <c r="BS296" s="5">
        <v>-0.28946898353669498</v>
      </c>
      <c r="BT296" s="5">
        <v>0.60882105009634402</v>
      </c>
      <c r="BU296" s="5">
        <v>-0.38118320571087</v>
      </c>
      <c r="BV296" s="5">
        <v>0.57149449432482002</v>
      </c>
      <c r="BW296" s="5">
        <v>-0.31384314704305</v>
      </c>
      <c r="BX296" s="5">
        <v>0.49466255863796499</v>
      </c>
      <c r="BY296" s="5">
        <v>-0.28116251771696599</v>
      </c>
      <c r="BZ296" s="5">
        <v>0.53719817399479397</v>
      </c>
      <c r="CA296" s="5">
        <v>-0.27818121911583399</v>
      </c>
      <c r="CB296" s="5">
        <v>0.15783078089495101</v>
      </c>
      <c r="CC296" s="5">
        <v>1.0959891534148201E-2</v>
      </c>
      <c r="CD296" s="5">
        <v>0.24487822286465299</v>
      </c>
      <c r="CE296" s="5">
        <v>-5.4601678001445303E-2</v>
      </c>
      <c r="CF296" s="5">
        <v>0.36014627820779099</v>
      </c>
      <c r="CG296" s="5">
        <v>-0.15998518496852601</v>
      </c>
      <c r="CH296" s="5">
        <v>0.21310720921748999</v>
      </c>
      <c r="CI296" s="5">
        <v>-5.1735216830147403E-2</v>
      </c>
      <c r="CJ296" s="5">
        <v>0.415762560647635</v>
      </c>
      <c r="CK296" s="5">
        <v>-0.175017743600209</v>
      </c>
      <c r="CL296" s="5">
        <v>-0.17513781911134299</v>
      </c>
      <c r="CM296" s="5">
        <v>0.25000638539690001</v>
      </c>
      <c r="CN296" s="5">
        <v>-0.171493068163976</v>
      </c>
      <c r="CO296" s="5">
        <v>0.28626470929256098</v>
      </c>
      <c r="CP296" s="5">
        <v>0.59038079154503897</v>
      </c>
      <c r="CQ296" s="5">
        <v>-0.39278639170391799</v>
      </c>
      <c r="CR296" s="5">
        <v>0.21550997164462099</v>
      </c>
      <c r="CS296" s="5">
        <v>-5.97984036474737E-2</v>
      </c>
      <c r="CT296" s="5">
        <v>-0.17602643188140801</v>
      </c>
      <c r="CU296" s="5">
        <v>0.20840622518322599</v>
      </c>
      <c r="CV296" s="5">
        <v>0.244679122068855</v>
      </c>
      <c r="CW296" s="5">
        <v>-4.4639824677515198E-2</v>
      </c>
      <c r="CX296" s="5">
        <v>0.55881166183654596</v>
      </c>
      <c r="CY296" s="5">
        <v>-0.26207516878244203</v>
      </c>
      <c r="CZ296" s="5">
        <v>0.40715758473152402</v>
      </c>
      <c r="DA296" s="5">
        <v>-0.13379816257556701</v>
      </c>
      <c r="DB296" s="5">
        <v>0.445478629359362</v>
      </c>
      <c r="DC296" s="5">
        <v>-3.9539308449516898E-2</v>
      </c>
      <c r="DD296" s="5">
        <v>0.55358533286712797</v>
      </c>
      <c r="DE296" s="5">
        <v>-0.30397935275419202</v>
      </c>
      <c r="DF296" s="5">
        <v>0.62240021541842905</v>
      </c>
      <c r="DG296" s="5">
        <v>-0.390226000538971</v>
      </c>
      <c r="DH296" s="5">
        <v>0.297320710353283</v>
      </c>
      <c r="DI296" s="5">
        <v>-6.2834122431436198E-2</v>
      </c>
      <c r="DJ296" s="5">
        <v>-0.24937471937795</v>
      </c>
      <c r="DK296" s="5">
        <v>0.23683953424797199</v>
      </c>
      <c r="DL296" s="5">
        <v>0.57674345874619604</v>
      </c>
      <c r="DM296" s="5">
        <v>-0.317588573997024</v>
      </c>
      <c r="DN296" s="5">
        <v>-0.308377646938015</v>
      </c>
      <c r="DO296" s="5">
        <v>0.221293520330342</v>
      </c>
      <c r="DP296" s="5">
        <v>0.341063053648199</v>
      </c>
      <c r="DQ296" s="5">
        <v>-0.14002829583712301</v>
      </c>
      <c r="DR296" s="5">
        <v>-3.42979919786698E-3</v>
      </c>
      <c r="DS296" s="5">
        <v>0.20587700739956499</v>
      </c>
      <c r="DT296" s="5">
        <v>0.37957569071458602</v>
      </c>
      <c r="DU296" s="5">
        <v>-0.24915872945315201</v>
      </c>
      <c r="DV296" s="5">
        <v>0.32446198990342301</v>
      </c>
      <c r="DW296" s="5">
        <v>-0.13852647661665199</v>
      </c>
      <c r="DX296" s="5">
        <v>-0.220153305758194</v>
      </c>
      <c r="DY296" s="5">
        <v>0.27322684299886102</v>
      </c>
      <c r="DZ296" s="5">
        <v>-0.27781428591805002</v>
      </c>
      <c r="EA296" s="5">
        <v>0.36427777387204502</v>
      </c>
      <c r="EB296" s="5">
        <v>0.53035834241728297</v>
      </c>
      <c r="EC296" s="5">
        <v>-0.31097972981953698</v>
      </c>
      <c r="ED296" s="5">
        <v>0.550261751746843</v>
      </c>
      <c r="EE296" s="5">
        <v>-0.32404003502981499</v>
      </c>
      <c r="EF296" s="5">
        <v>0.21049993403772299</v>
      </c>
      <c r="EG296" s="5">
        <v>-6.2602598325763203E-2</v>
      </c>
      <c r="EH296" s="5">
        <v>0.56793974833615302</v>
      </c>
      <c r="EI296" s="5">
        <v>-0.28146643452884001</v>
      </c>
      <c r="EJ296" s="5">
        <v>0.59224183918973705</v>
      </c>
      <c r="EK296" s="5">
        <v>-0.29718973023733097</v>
      </c>
      <c r="EL296" s="5">
        <v>0.59176743578051405</v>
      </c>
      <c r="EM296" s="5">
        <v>-0.39761481391861703</v>
      </c>
      <c r="EN296" s="5">
        <v>0.33141142834766402</v>
      </c>
      <c r="EO296" s="5">
        <v>-7.5443032292165604E-2</v>
      </c>
      <c r="EP296" s="5">
        <v>0.347959837370659</v>
      </c>
      <c r="EQ296" s="5">
        <v>-0.17645678175107099</v>
      </c>
      <c r="ER296" s="5">
        <v>0.42473004434563</v>
      </c>
      <c r="ES296" s="5">
        <v>-0.12883396285864501</v>
      </c>
      <c r="ET296" s="5">
        <v>0.32894325208707498</v>
      </c>
      <c r="EU296" s="5">
        <v>-0.111946853607133</v>
      </c>
      <c r="EV296" s="5">
        <v>0.46035253484769001</v>
      </c>
      <c r="EW296" s="5">
        <v>-0.22927558037492199</v>
      </c>
      <c r="EX296" s="5">
        <v>0.23533689595567001</v>
      </c>
      <c r="EY296" s="5">
        <v>-2.3005332941945602E-3</v>
      </c>
      <c r="EZ296" s="5">
        <v>0.406746858848548</v>
      </c>
      <c r="FA296" s="5">
        <v>-0.144297933512747</v>
      </c>
      <c r="FB296" s="5">
        <v>7.6195785318254702E-2</v>
      </c>
      <c r="FC296" s="5">
        <v>0.115672575471124</v>
      </c>
      <c r="FD296" s="5">
        <v>0.27391893730827699</v>
      </c>
      <c r="FE296" s="5">
        <v>-7.1858725843581994E-2</v>
      </c>
      <c r="FF296" s="5">
        <v>2.7992859575045898E-3</v>
      </c>
      <c r="FG296" s="5">
        <v>0.15869406655455601</v>
      </c>
      <c r="FH296" s="5">
        <v>0.51662561199470702</v>
      </c>
      <c r="FI296" s="5">
        <v>-0.37186015968463798</v>
      </c>
      <c r="FJ296" s="5">
        <v>0.44937003502279699</v>
      </c>
      <c r="FK296" s="5">
        <v>-0.14125545056122299</v>
      </c>
      <c r="FL296" s="5">
        <v>-0.181003278184314</v>
      </c>
      <c r="FM296" s="5">
        <v>0.233484105330825</v>
      </c>
      <c r="FN296" s="5">
        <v>0.61169406070316001</v>
      </c>
      <c r="FO296" s="5">
        <v>-0.34541471319327499</v>
      </c>
      <c r="FP296" s="5">
        <v>0.70641164616815399</v>
      </c>
      <c r="FQ296" s="5">
        <v>-0.41657201505844998</v>
      </c>
      <c r="FR296" s="5">
        <v>-0.21656887368455099</v>
      </c>
      <c r="FS296" s="5">
        <v>9.23308730090001E-2</v>
      </c>
      <c r="FT296" s="5">
        <v>0.48562543818415899</v>
      </c>
      <c r="FU296" s="5">
        <v>-0.128284551633707</v>
      </c>
      <c r="FV296" s="5">
        <v>0.20362186471215599</v>
      </c>
      <c r="FW296" s="5">
        <v>3.6706457161174099E-3</v>
      </c>
      <c r="FX296" s="5">
        <v>0.33333199918315098</v>
      </c>
      <c r="FY296" s="5">
        <v>-0.144479528581275</v>
      </c>
      <c r="FZ296" s="5">
        <v>0.52175925009930202</v>
      </c>
      <c r="GA296" s="5">
        <v>-0.1513817118868</v>
      </c>
      <c r="GB296" s="5">
        <v>1.62539544945696E-4</v>
      </c>
      <c r="GC296" s="5">
        <v>0.26829015834665598</v>
      </c>
      <c r="GD296" s="5">
        <v>-0.445612482716434</v>
      </c>
      <c r="GE296" s="5">
        <v>0.50780457135647605</v>
      </c>
      <c r="GF296" s="5">
        <v>0.48810554174965598</v>
      </c>
      <c r="GG296" s="5">
        <v>-0.25815532282265202</v>
      </c>
      <c r="GH296" s="5">
        <v>-0.42404319579266198</v>
      </c>
      <c r="GI296" s="5">
        <v>0.38134629555947902</v>
      </c>
      <c r="GJ296" s="5">
        <v>0.38276567324731797</v>
      </c>
      <c r="GK296" s="5">
        <v>-0.18945298111519401</v>
      </c>
      <c r="GL296" s="5">
        <v>0.251093244239114</v>
      </c>
      <c r="GM296" s="5">
        <v>-0.10764827592203401</v>
      </c>
      <c r="GN296" s="5">
        <v>0.10664575256525199</v>
      </c>
      <c r="GO296" s="5">
        <v>0.14028613010090599</v>
      </c>
      <c r="GP296" s="5">
        <v>0.761955226081932</v>
      </c>
      <c r="GQ296" s="5">
        <v>-0.47282106842684601</v>
      </c>
      <c r="GR296" s="5">
        <v>0.40103962076775301</v>
      </c>
      <c r="GS296" s="5">
        <v>-0.235553284749279</v>
      </c>
      <c r="GT296" s="5">
        <v>0.376991838028434</v>
      </c>
      <c r="GU296" s="5">
        <v>-6.4965787014925794E-2</v>
      </c>
      <c r="GV296" s="5">
        <v>0.34693279258912701</v>
      </c>
      <c r="GW296" s="5">
        <v>-0.20274406695585101</v>
      </c>
      <c r="GX296" s="5">
        <v>0.42282422254850499</v>
      </c>
      <c r="GY296" s="5">
        <v>-0.10549752548953301</v>
      </c>
      <c r="GZ296" s="5">
        <v>-0.22591331297130901</v>
      </c>
      <c r="HA296" s="5">
        <v>0.26040480725563903</v>
      </c>
      <c r="HB296" s="5">
        <v>0.43274376992887498</v>
      </c>
      <c r="HC296" s="5">
        <v>-0.200388097242338</v>
      </c>
      <c r="HD296" s="5">
        <v>0.114105220792925</v>
      </c>
      <c r="HE296" s="5">
        <v>0.216157133855781</v>
      </c>
      <c r="HF296" s="5">
        <v>-0.228717252393177</v>
      </c>
      <c r="HG296" s="5">
        <v>0.246514481111344</v>
      </c>
      <c r="HH296" s="5">
        <v>-0.16226221481214501</v>
      </c>
      <c r="HI296" s="5">
        <v>0.29745105125354299</v>
      </c>
      <c r="HJ296" s="5">
        <v>-0.24817779233269199</v>
      </c>
      <c r="HK296" s="5">
        <v>0.24872841587238201</v>
      </c>
      <c r="HL296" s="5">
        <v>0.59035484272391303</v>
      </c>
      <c r="HM296" s="5">
        <v>-0.35851726252121102</v>
      </c>
      <c r="HN296" s="5">
        <v>-6.6842450615624202E-2</v>
      </c>
      <c r="HO296" s="5">
        <v>0.24212266893341899</v>
      </c>
      <c r="HP296" s="5">
        <v>0.40064030911272502</v>
      </c>
      <c r="HQ296" s="5">
        <v>-0.124235056510227</v>
      </c>
      <c r="HR296" s="5">
        <v>0.53789616460095901</v>
      </c>
      <c r="HS296" s="5">
        <v>-0.24502067916683401</v>
      </c>
      <c r="HT296" s="5">
        <v>-1.6966847338880399E-3</v>
      </c>
      <c r="HU296" s="5">
        <v>0.18171010119697401</v>
      </c>
      <c r="HV296" s="5">
        <v>0.54097147745555496</v>
      </c>
      <c r="HW296" s="5">
        <v>-0.28665034456122801</v>
      </c>
      <c r="HX296" s="5">
        <v>0.45256657121705102</v>
      </c>
      <c r="HY296" s="5">
        <v>-0.24221534387118501</v>
      </c>
      <c r="HZ296" s="5">
        <v>-0.123681191694464</v>
      </c>
      <c r="IA296" s="5">
        <v>0.214325157650924</v>
      </c>
      <c r="IB296" s="5">
        <v>-0.40847476978277902</v>
      </c>
      <c r="IC296" s="5">
        <v>0.37222188553195101</v>
      </c>
      <c r="ID296" s="5">
        <v>0.45404598665393803</v>
      </c>
      <c r="IE296" s="5">
        <v>-0.14834874247404201</v>
      </c>
      <c r="IF296" s="5">
        <v>0.62569195230517305</v>
      </c>
      <c r="IG296" s="5">
        <v>-0.379857567699937</v>
      </c>
      <c r="IH296" s="5">
        <v>0.27337048038276301</v>
      </c>
      <c r="II296" s="5">
        <v>-0.1218010945828</v>
      </c>
      <c r="IJ296" s="5">
        <v>0.204270925088293</v>
      </c>
      <c r="IK296" s="5">
        <v>-9.7560147053969898E-2</v>
      </c>
      <c r="IL296" s="5">
        <v>0.64957084223740302</v>
      </c>
      <c r="IM296" s="5">
        <v>-0.408491446654144</v>
      </c>
      <c r="IN296" s="5">
        <v>0.56332994494742195</v>
      </c>
      <c r="IO296" s="5">
        <v>-0.38213881776453601</v>
      </c>
      <c r="IP296" s="5">
        <v>0.33919991434403102</v>
      </c>
      <c r="IQ296" s="5">
        <v>6.44054627467171E-3</v>
      </c>
      <c r="IR296" s="5">
        <v>0.31201190428804798</v>
      </c>
      <c r="IS296" s="5">
        <v>-7.7148753895580693E-2</v>
      </c>
      <c r="IT296" s="5">
        <v>0.49145313864944801</v>
      </c>
      <c r="IU296" s="5">
        <v>-0.20551903192879001</v>
      </c>
      <c r="IV296" s="5">
        <v>0.41663312717718598</v>
      </c>
      <c r="IW296" s="5">
        <v>-0.22795451801305699</v>
      </c>
      <c r="IX296" s="5">
        <v>0.39275203013704602</v>
      </c>
      <c r="IY296" s="5">
        <v>-0.170545394009955</v>
      </c>
      <c r="IZ296" s="5">
        <v>-0.14975928539745101</v>
      </c>
      <c r="JA296" s="5">
        <v>0.26871089402711701</v>
      </c>
      <c r="JB296" s="5">
        <v>-0.27537073486043701</v>
      </c>
      <c r="JC296" s="5">
        <v>0.16806295641741001</v>
      </c>
      <c r="JD296" s="5">
        <v>0.25696678607923801</v>
      </c>
      <c r="JE296" s="5">
        <v>5.3455565105267097E-2</v>
      </c>
      <c r="JF296" s="5">
        <v>8.1515726506552602E-2</v>
      </c>
      <c r="JG296" s="5">
        <v>3.06132241876916E-2</v>
      </c>
      <c r="JH296" s="5">
        <v>0.127575868163506</v>
      </c>
      <c r="JI296" s="5">
        <v>-0.10156407859507401</v>
      </c>
      <c r="JJ296" s="5">
        <v>0.69749472127360002</v>
      </c>
      <c r="JK296" s="5">
        <v>-0.41487006249691899</v>
      </c>
      <c r="JL296" s="5">
        <v>0.65792647867825205</v>
      </c>
      <c r="JM296" s="5">
        <v>-0.367225501809404</v>
      </c>
      <c r="JN296" s="5">
        <v>0.372944527347225</v>
      </c>
      <c r="JO296" s="5">
        <v>-0.15461932511885801</v>
      </c>
      <c r="JP296" s="5">
        <v>0.53140759497575996</v>
      </c>
      <c r="JQ296" s="5">
        <v>-0.22422061411210101</v>
      </c>
      <c r="JR296" s="5">
        <v>0.29987367303123103</v>
      </c>
      <c r="JS296" s="5">
        <v>-1.9254613240082201E-2</v>
      </c>
      <c r="JT296" s="5">
        <v>0.27027050136667402</v>
      </c>
      <c r="JU296" s="5">
        <v>-0.12028707231642601</v>
      </c>
      <c r="JV296" s="5">
        <v>0.59312210140223398</v>
      </c>
      <c r="JW296" s="5">
        <v>-0.41824173732034903</v>
      </c>
      <c r="JX296" s="5">
        <v>-0.16832764039435799</v>
      </c>
      <c r="JY296" s="5">
        <v>0.239868994490155</v>
      </c>
      <c r="JZ296" s="5">
        <v>0.28533080880478401</v>
      </c>
      <c r="KA296" s="5">
        <v>-9.9799894122967206E-2</v>
      </c>
      <c r="KB296" s="5">
        <v>-0.248286803521407</v>
      </c>
      <c r="KC296" s="5">
        <v>0.29329959238571901</v>
      </c>
      <c r="KD296" s="5">
        <v>0.37938088884680299</v>
      </c>
      <c r="KE296" s="5">
        <v>-0.15794670392403301</v>
      </c>
      <c r="KF296" s="5">
        <v>0.53087313983890505</v>
      </c>
      <c r="KG296" s="5">
        <v>-0.37647826188778799</v>
      </c>
      <c r="KH296" s="5">
        <v>0.46955666248970701</v>
      </c>
      <c r="KI296" s="5">
        <v>-0.11392537656836001</v>
      </c>
      <c r="KJ296" s="5">
        <v>1</v>
      </c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</row>
    <row r="297" spans="1:389" x14ac:dyDescent="0.45">
      <c r="A297" s="4" t="str">
        <f ca="1">"QAT / beta2dist in "&amp;CELL("address",'damages-1990'!$K$149)</f>
        <v>QAT / beta2dist in '[BHM betas v3pd.xlsx]damages-1990'!$K$149</v>
      </c>
      <c r="B297" s="6">
        <v>-0.24531247072863899</v>
      </c>
      <c r="C297" s="5">
        <v>0.43519658724323901</v>
      </c>
      <c r="D297" s="5">
        <v>-4.6239056852119403E-2</v>
      </c>
      <c r="E297" s="5">
        <v>0.222236130031638</v>
      </c>
      <c r="F297" s="5">
        <v>-6.7135882019773302E-2</v>
      </c>
      <c r="G297" s="5">
        <v>0.125734986045514</v>
      </c>
      <c r="H297" s="5">
        <v>0.12441076376098099</v>
      </c>
      <c r="I297" s="5">
        <v>-0.24870335530622001</v>
      </c>
      <c r="J297" s="5">
        <v>-0.55782649605535894</v>
      </c>
      <c r="K297" s="5">
        <v>0.82243783560066397</v>
      </c>
      <c r="L297" s="5">
        <v>-0.24149186190445199</v>
      </c>
      <c r="M297" s="5">
        <v>0.43334101342014902</v>
      </c>
      <c r="N297" s="5">
        <v>0.28694646339951901</v>
      </c>
      <c r="O297" s="5">
        <v>-0.39088242386199501</v>
      </c>
      <c r="P297" s="5">
        <v>-7.2892613073236301E-2</v>
      </c>
      <c r="Q297" s="5">
        <v>0.20221700382923799</v>
      </c>
      <c r="R297" s="5">
        <v>-0.118545985827016</v>
      </c>
      <c r="S297" s="5">
        <v>0.29245850732928402</v>
      </c>
      <c r="T297" s="5">
        <v>1.4693949466476E-2</v>
      </c>
      <c r="U297" s="5">
        <v>-6.3469352192037198E-2</v>
      </c>
      <c r="V297" s="5">
        <v>1.6274755372453601E-2</v>
      </c>
      <c r="W297" s="5">
        <v>-3.94518225072647E-2</v>
      </c>
      <c r="X297" s="5">
        <v>-0.120718053972151</v>
      </c>
      <c r="Y297" s="5">
        <v>0.311734368720818</v>
      </c>
      <c r="Z297" s="5">
        <v>5.3438273431813503E-2</v>
      </c>
      <c r="AA297" s="5">
        <v>-9.6311951349718095E-2</v>
      </c>
      <c r="AB297" s="5">
        <v>-0.22975469200866599</v>
      </c>
      <c r="AC297" s="5">
        <v>0.427025688720993</v>
      </c>
      <c r="AD297" s="5">
        <v>-0.32638817514790502</v>
      </c>
      <c r="AE297" s="5">
        <v>0.47957225997635899</v>
      </c>
      <c r="AF297" s="5">
        <v>-2.7577326418934001E-3</v>
      </c>
      <c r="AG297" s="5">
        <v>0.18832636609356501</v>
      </c>
      <c r="AH297" s="5">
        <v>-1.7735068633910401E-3</v>
      </c>
      <c r="AI297" s="5">
        <v>2.07772655537308E-2</v>
      </c>
      <c r="AJ297" s="5">
        <v>-0.642935555407114</v>
      </c>
      <c r="AK297" s="5">
        <v>0.86585543002727805</v>
      </c>
      <c r="AL297" s="5">
        <v>0.136119228208372</v>
      </c>
      <c r="AM297" s="5">
        <v>-6.8703842402074999E-2</v>
      </c>
      <c r="AN297" s="5">
        <v>-3.2520637418077002E-2</v>
      </c>
      <c r="AO297" s="5">
        <v>2.8125313731175501E-2</v>
      </c>
      <c r="AP297" s="5">
        <v>-2.84575215943208E-2</v>
      </c>
      <c r="AQ297" s="5">
        <v>5.6867646059521101E-3</v>
      </c>
      <c r="AR297" s="5">
        <v>4.3462600898992697E-2</v>
      </c>
      <c r="AS297" s="5">
        <v>3.5056897231834402E-2</v>
      </c>
      <c r="AT297" s="5">
        <v>6.2090229167042703E-2</v>
      </c>
      <c r="AU297" s="5">
        <v>-1.17926205844146E-2</v>
      </c>
      <c r="AV297" s="5">
        <v>-5.3480573755956197E-2</v>
      </c>
      <c r="AW297" s="5">
        <v>0.20378694557798799</v>
      </c>
      <c r="AX297" s="5">
        <v>-0.12832443430604501</v>
      </c>
      <c r="AY297" s="5">
        <v>0.30289023803604398</v>
      </c>
      <c r="AZ297" s="5">
        <v>-0.19379744278008501</v>
      </c>
      <c r="BA297" s="5">
        <v>0.32793796512106399</v>
      </c>
      <c r="BB297" s="5">
        <v>-0.17828495425260299</v>
      </c>
      <c r="BC297" s="5">
        <v>0.38593651348431102</v>
      </c>
      <c r="BD297" s="5">
        <v>-8.4759230861801593E-2</v>
      </c>
      <c r="BE297" s="5">
        <v>0.17917778690490599</v>
      </c>
      <c r="BF297" s="5">
        <v>-1.7495849334103201E-2</v>
      </c>
      <c r="BG297" s="5">
        <v>0.13793253128069899</v>
      </c>
      <c r="BH297" s="5">
        <v>-0.26974598880664602</v>
      </c>
      <c r="BI297" s="5">
        <v>0.49639468013240001</v>
      </c>
      <c r="BJ297" s="5">
        <v>-5.7856431853263801E-3</v>
      </c>
      <c r="BK297" s="5">
        <v>-0.18399476072158499</v>
      </c>
      <c r="BL297" s="5">
        <v>1.3851976069230601E-2</v>
      </c>
      <c r="BM297" s="5">
        <v>-0.10672473449563399</v>
      </c>
      <c r="BN297" s="5">
        <v>9.8471409664887294E-2</v>
      </c>
      <c r="BO297" s="5">
        <v>-0.20391817870788501</v>
      </c>
      <c r="BP297" s="5">
        <v>1.7982520219779599E-2</v>
      </c>
      <c r="BQ297" s="5">
        <v>-0.115242185753739</v>
      </c>
      <c r="BR297" s="5">
        <v>-0.30626796188530597</v>
      </c>
      <c r="BS297" s="5">
        <v>0.50623379769308896</v>
      </c>
      <c r="BT297" s="5">
        <v>-0.24488789568872901</v>
      </c>
      <c r="BU297" s="5">
        <v>0.50645715679195402</v>
      </c>
      <c r="BV297" s="5">
        <v>-0.267086845812461</v>
      </c>
      <c r="BW297" s="5">
        <v>0.49064239302404</v>
      </c>
      <c r="BX297" s="5">
        <v>-0.21417658665612199</v>
      </c>
      <c r="BY297" s="5">
        <v>0.42650875951121098</v>
      </c>
      <c r="BZ297" s="5">
        <v>-0.20431178234112199</v>
      </c>
      <c r="CA297" s="5">
        <v>0.37223028726156598</v>
      </c>
      <c r="CB297" s="5">
        <v>0.16572319651071099</v>
      </c>
      <c r="CC297" s="5">
        <v>-1.08273716137852E-2</v>
      </c>
      <c r="CD297" s="5">
        <v>-8.4605163604542705E-2</v>
      </c>
      <c r="CE297" s="5">
        <v>0.159889575514711</v>
      </c>
      <c r="CF297" s="5">
        <v>-5.9725205843425E-2</v>
      </c>
      <c r="CG297" s="5">
        <v>0.15813766098335999</v>
      </c>
      <c r="CH297" s="5">
        <v>0.20867283811894299</v>
      </c>
      <c r="CI297" s="5">
        <v>-0.15693419364842001</v>
      </c>
      <c r="CJ297" s="5">
        <v>-0.165862285989232</v>
      </c>
      <c r="CK297" s="5">
        <v>0.24108097524715399</v>
      </c>
      <c r="CL297" s="5">
        <v>3.1810853098874901E-2</v>
      </c>
      <c r="CM297" s="5">
        <v>-7.3174925950259304E-2</v>
      </c>
      <c r="CN297" s="5">
        <v>4.6769876945910303E-2</v>
      </c>
      <c r="CO297" s="5">
        <v>-9.6336868997592306E-2</v>
      </c>
      <c r="CP297" s="5">
        <v>-0.51514309185368401</v>
      </c>
      <c r="CQ297" s="5">
        <v>0.61864449644026198</v>
      </c>
      <c r="CR297" s="5">
        <v>-5.28818168319782E-2</v>
      </c>
      <c r="CS297" s="5">
        <v>0.183328425989047</v>
      </c>
      <c r="CT297" s="5">
        <v>1.9344774053986099E-2</v>
      </c>
      <c r="CU297" s="5">
        <v>-3.6930397766473999E-2</v>
      </c>
      <c r="CV297" s="5">
        <v>-9.4233898932865601E-2</v>
      </c>
      <c r="CW297" s="5">
        <v>0.201258706689914</v>
      </c>
      <c r="CX297" s="5">
        <v>-0.26597275676600601</v>
      </c>
      <c r="CY297" s="5">
        <v>0.43165721660656697</v>
      </c>
      <c r="CZ297" s="5">
        <v>-6.9480525850214206E-2</v>
      </c>
      <c r="DA297" s="5">
        <v>0.184631217512159</v>
      </c>
      <c r="DB297" s="5">
        <v>-8.0533549227999296E-2</v>
      </c>
      <c r="DC297" s="5">
        <v>0.16800947528400201</v>
      </c>
      <c r="DD297" s="5">
        <v>-0.45520615203313902</v>
      </c>
      <c r="DE297" s="5">
        <v>0.57448333971165999</v>
      </c>
      <c r="DF297" s="5">
        <v>-0.32477702319011298</v>
      </c>
      <c r="DG297" s="5">
        <v>0.48081786286054001</v>
      </c>
      <c r="DH297" s="5">
        <v>-0.14128060535196199</v>
      </c>
      <c r="DI297" s="5">
        <v>0.29006152110688599</v>
      </c>
      <c r="DJ297" s="5">
        <v>-2.4693313008891001E-2</v>
      </c>
      <c r="DK297" s="5">
        <v>8.0603114928428504E-3</v>
      </c>
      <c r="DL297" s="5">
        <v>-0.31970525068640698</v>
      </c>
      <c r="DM297" s="5">
        <v>0.51897204995023005</v>
      </c>
      <c r="DN297" s="5">
        <v>-2.0166233734833901E-2</v>
      </c>
      <c r="DO297" s="5">
        <v>1.43922230416101E-2</v>
      </c>
      <c r="DP297" s="5">
        <v>-2.2814838754929501E-2</v>
      </c>
      <c r="DQ297" s="5">
        <v>0.15313772332084999</v>
      </c>
      <c r="DR297" s="5">
        <v>-8.5362812015500698E-3</v>
      </c>
      <c r="DS297" s="5">
        <v>2.1301878130393501E-2</v>
      </c>
      <c r="DT297" s="5">
        <v>-0.243068408061164</v>
      </c>
      <c r="DU297" s="5">
        <v>0.33949216900324503</v>
      </c>
      <c r="DV297" s="5">
        <v>-0.14542216032719199</v>
      </c>
      <c r="DW297" s="5">
        <v>0.318558622622582</v>
      </c>
      <c r="DX297" s="5">
        <v>1.9581054748516201E-2</v>
      </c>
      <c r="DY297" s="5">
        <v>-3.4450224256678201E-2</v>
      </c>
      <c r="DZ297" s="5">
        <v>0.240495909255483</v>
      </c>
      <c r="EA297" s="5">
        <v>-0.330755732860533</v>
      </c>
      <c r="EB297" s="5">
        <v>-0.30714917403512398</v>
      </c>
      <c r="EC297" s="5">
        <v>0.48672636363081101</v>
      </c>
      <c r="ED297" s="5">
        <v>-0.316565189016836</v>
      </c>
      <c r="EE297" s="5">
        <v>0.51677421616466501</v>
      </c>
      <c r="EF297" s="5">
        <v>-8.2483734623698804E-2</v>
      </c>
      <c r="EG297" s="5">
        <v>0.203168246644027</v>
      </c>
      <c r="EH297" s="5">
        <v>-0.27893533465705</v>
      </c>
      <c r="EI297" s="5">
        <v>0.44282030634505498</v>
      </c>
      <c r="EJ297" s="5">
        <v>-0.34140936432713498</v>
      </c>
      <c r="EK297" s="5">
        <v>0.494110125876912</v>
      </c>
      <c r="EL297" s="5">
        <v>-0.20425510632872301</v>
      </c>
      <c r="EM297" s="5">
        <v>0.420473884371942</v>
      </c>
      <c r="EN297" s="5">
        <v>-0.11263117354369601</v>
      </c>
      <c r="EO297" s="5">
        <v>0.163385614522258</v>
      </c>
      <c r="EP297" s="5">
        <v>-0.206116560950038</v>
      </c>
      <c r="EQ297" s="5">
        <v>0.31152810721754798</v>
      </c>
      <c r="ER297" s="5">
        <v>-1.20966136997398E-2</v>
      </c>
      <c r="ES297" s="5">
        <v>0.118053034938936</v>
      </c>
      <c r="ET297" s="5">
        <v>9.19480635291922E-2</v>
      </c>
      <c r="EU297" s="5">
        <v>7.3954724421304005E-2</v>
      </c>
      <c r="EV297" s="5">
        <v>-6.9286473814802199E-2</v>
      </c>
      <c r="EW297" s="5">
        <v>0.241012847160336</v>
      </c>
      <c r="EX297" s="5">
        <v>0.208090283872439</v>
      </c>
      <c r="EY297" s="5">
        <v>-9.2044239431691502E-2</v>
      </c>
      <c r="EZ297" s="5">
        <v>-2.7479218937076801E-2</v>
      </c>
      <c r="FA297" s="5">
        <v>0.18381308390956999</v>
      </c>
      <c r="FB297" s="5">
        <v>-4.87907957298888E-2</v>
      </c>
      <c r="FC297" s="5">
        <v>8.8016135136420801E-2</v>
      </c>
      <c r="FD297" s="5">
        <v>-1.99650473773306E-2</v>
      </c>
      <c r="FE297" s="5">
        <v>0.14512668525122899</v>
      </c>
      <c r="FF297" s="5">
        <v>-2.04403867045201E-2</v>
      </c>
      <c r="FG297" s="5">
        <v>4.2886047761283901E-2</v>
      </c>
      <c r="FH297" s="5">
        <v>-1.44060286691138E-2</v>
      </c>
      <c r="FI297" s="5">
        <v>0.22027071588832201</v>
      </c>
      <c r="FJ297" s="5">
        <v>-0.14525846758935099</v>
      </c>
      <c r="FK297" s="5">
        <v>0.33743851313960199</v>
      </c>
      <c r="FL297" s="5">
        <v>3.9667083816573502E-2</v>
      </c>
      <c r="FM297" s="5">
        <v>-5.3241794108697699E-2</v>
      </c>
      <c r="FN297" s="5">
        <v>-0.42937987368591601</v>
      </c>
      <c r="FO297" s="5">
        <v>0.635531064843327</v>
      </c>
      <c r="FP297" s="5">
        <v>-0.42670737714592599</v>
      </c>
      <c r="FQ297" s="5">
        <v>0.58983061176903095</v>
      </c>
      <c r="FR297" s="5">
        <v>0.15857031157960599</v>
      </c>
      <c r="FS297" s="5">
        <v>-0.15452861808503299</v>
      </c>
      <c r="FT297" s="5">
        <v>-0.15261657072203599</v>
      </c>
      <c r="FU297" s="5">
        <v>0.26636535592402</v>
      </c>
      <c r="FV297" s="5">
        <v>-6.9225777547867698E-2</v>
      </c>
      <c r="FW297" s="5">
        <v>0.185034366127796</v>
      </c>
      <c r="FX297" s="5">
        <v>-1.0462719252602201E-3</v>
      </c>
      <c r="FY297" s="5">
        <v>0.12822052683986701</v>
      </c>
      <c r="FZ297" s="5">
        <v>-0.180904744532494</v>
      </c>
      <c r="GA297" s="5">
        <v>0.31178728344694101</v>
      </c>
      <c r="GB297" s="5">
        <v>1.95879889723147E-3</v>
      </c>
      <c r="GC297" s="5">
        <v>1.7160990681934399E-2</v>
      </c>
      <c r="GD297" s="5">
        <v>0.277177840778074</v>
      </c>
      <c r="GE297" s="5">
        <v>-0.34813287004145399</v>
      </c>
      <c r="GF297" s="5">
        <v>-0.111891754312057</v>
      </c>
      <c r="GG297" s="5">
        <v>0.36299104371838598</v>
      </c>
      <c r="GH297" s="5">
        <v>0.29534295341230499</v>
      </c>
      <c r="GI297" s="5">
        <v>-0.44776169212231698</v>
      </c>
      <c r="GJ297" s="5">
        <v>6.4160723295829294E-2</v>
      </c>
      <c r="GK297" s="5">
        <v>0.10366915239270599</v>
      </c>
      <c r="GL297" s="5">
        <v>-0.16767351452502299</v>
      </c>
      <c r="GM297" s="5">
        <v>0.29487282940075399</v>
      </c>
      <c r="GN297" s="5">
        <v>-8.3741792385617894E-2</v>
      </c>
      <c r="GO297" s="5">
        <v>0.18196320616768699</v>
      </c>
      <c r="GP297" s="5">
        <v>-0.49708378206972798</v>
      </c>
      <c r="GQ297" s="5">
        <v>0.682887575478762</v>
      </c>
      <c r="GR297" s="5">
        <v>5.6565812483306997E-3</v>
      </c>
      <c r="GS297" s="5">
        <v>0.20369914150504501</v>
      </c>
      <c r="GT297" s="5">
        <v>-0.12518139770150699</v>
      </c>
      <c r="GU297" s="5">
        <v>0.19146848366855301</v>
      </c>
      <c r="GV297" s="5">
        <v>-0.12874264777801001</v>
      </c>
      <c r="GW297" s="5">
        <v>0.33505288443881898</v>
      </c>
      <c r="GX297" s="5">
        <v>-0.104786944755778</v>
      </c>
      <c r="GY297" s="5">
        <v>0.201595454650494</v>
      </c>
      <c r="GZ297" s="5">
        <v>1.6451854643134999E-2</v>
      </c>
      <c r="HA297" s="5">
        <v>-0.104745505119857</v>
      </c>
      <c r="HB297" s="5">
        <v>-2.9358667257781499E-2</v>
      </c>
      <c r="HC297" s="5">
        <v>0.20229012835874999</v>
      </c>
      <c r="HD297" s="5">
        <v>-3.2191483637200799E-2</v>
      </c>
      <c r="HE297" s="5">
        <v>7.0381875234430305E-2</v>
      </c>
      <c r="HF297" s="5">
        <v>-1.8893050691757601E-2</v>
      </c>
      <c r="HG297" s="5">
        <v>-3.01497352703898E-3</v>
      </c>
      <c r="HH297" s="5">
        <v>4.8635237069546498E-2</v>
      </c>
      <c r="HI297" s="5">
        <v>-0.10214364385106001</v>
      </c>
      <c r="HJ297" s="5">
        <v>-9.82586682661446E-3</v>
      </c>
      <c r="HK297" s="5">
        <v>-1.15364485729478E-2</v>
      </c>
      <c r="HL297" s="5">
        <v>-0.30730830614017701</v>
      </c>
      <c r="HM297" s="5">
        <v>0.51246668345619595</v>
      </c>
      <c r="HN297" s="5">
        <v>3.0514697914837401E-2</v>
      </c>
      <c r="HO297" s="5">
        <v>-4.11498274829264E-2</v>
      </c>
      <c r="HP297" s="5">
        <v>-5.5721188574188799E-2</v>
      </c>
      <c r="HQ297" s="5">
        <v>0.283355465362984</v>
      </c>
      <c r="HR297" s="5">
        <v>-9.0152381835015505E-2</v>
      </c>
      <c r="HS297" s="5">
        <v>0.23205658087361</v>
      </c>
      <c r="HT297" s="5">
        <v>-3.4501313093284101E-2</v>
      </c>
      <c r="HU297" s="5">
        <v>6.7592044188611297E-2</v>
      </c>
      <c r="HV297" s="5">
        <v>-0.317240417893908</v>
      </c>
      <c r="HW297" s="5">
        <v>0.48301072440697301</v>
      </c>
      <c r="HX297" s="5">
        <v>-7.5041267196888195E-2</v>
      </c>
      <c r="HY297" s="5">
        <v>0.33321364049040397</v>
      </c>
      <c r="HZ297" s="5">
        <v>-1.22108770469566E-2</v>
      </c>
      <c r="IA297" s="5">
        <v>-6.4446118843955198E-3</v>
      </c>
      <c r="IB297" s="5">
        <v>0.16242823533365</v>
      </c>
      <c r="IC297" s="5">
        <v>-0.232569597682348</v>
      </c>
      <c r="ID297" s="5">
        <v>-0.109332133413028</v>
      </c>
      <c r="IE297" s="5">
        <v>0.32371311556118798</v>
      </c>
      <c r="IF297" s="5">
        <v>-0.34582650418490302</v>
      </c>
      <c r="IG297" s="5">
        <v>0.55610447682497699</v>
      </c>
      <c r="IH297" s="5">
        <v>-0.10201501673546901</v>
      </c>
      <c r="II297" s="5">
        <v>0.23655414442425901</v>
      </c>
      <c r="IJ297" s="5">
        <v>9.72943517728002E-2</v>
      </c>
      <c r="IK297" s="5">
        <v>-6.6215337467199998E-3</v>
      </c>
      <c r="IL297" s="5">
        <v>-0.33600881385215797</v>
      </c>
      <c r="IM297" s="5">
        <v>0.608269340239042</v>
      </c>
      <c r="IN297" s="5">
        <v>-0.10994804504165299</v>
      </c>
      <c r="IO297" s="5">
        <v>0.36721588253318999</v>
      </c>
      <c r="IP297" s="5">
        <v>1.44445117274473E-2</v>
      </c>
      <c r="IQ297" s="5">
        <v>9.3255783501775893E-2</v>
      </c>
      <c r="IR297" s="5">
        <v>-4.1586249424906803E-2</v>
      </c>
      <c r="IS297" s="5">
        <v>9.2223687100196794E-2</v>
      </c>
      <c r="IT297" s="5">
        <v>-0.224392357410681</v>
      </c>
      <c r="IU297" s="5">
        <v>0.36476464661536601</v>
      </c>
      <c r="IV297" s="5">
        <v>-0.26306104090001697</v>
      </c>
      <c r="IW297" s="5">
        <v>0.45998142749857601</v>
      </c>
      <c r="IX297" s="5">
        <v>-7.4689605921793703E-2</v>
      </c>
      <c r="IY297" s="5">
        <v>0.237370301872392</v>
      </c>
      <c r="IZ297" s="5">
        <v>7.4887981574854198E-2</v>
      </c>
      <c r="JA297" s="5">
        <v>-0.115189001033243</v>
      </c>
      <c r="JB297" s="5">
        <v>-6.6247512069717199E-2</v>
      </c>
      <c r="JC297" s="5">
        <v>7.71410042593971E-2</v>
      </c>
      <c r="JD297" s="5">
        <v>-0.122044286215804</v>
      </c>
      <c r="JE297" s="5">
        <v>0.28248922054404002</v>
      </c>
      <c r="JF297" s="5">
        <v>0.184426814836326</v>
      </c>
      <c r="JG297" s="5">
        <v>-7.2384034623697802E-2</v>
      </c>
      <c r="JH297" s="5">
        <v>-0.117489677617654</v>
      </c>
      <c r="JI297" s="5">
        <v>0.20486000768436199</v>
      </c>
      <c r="JJ297" s="5">
        <v>-0.38499068009354698</v>
      </c>
      <c r="JK297" s="5">
        <v>0.64398008442281096</v>
      </c>
      <c r="JL297" s="5">
        <v>-0.41971873977301799</v>
      </c>
      <c r="JM297" s="5">
        <v>0.62076064757479099</v>
      </c>
      <c r="JN297" s="5">
        <v>-9.9101863615384506E-2</v>
      </c>
      <c r="JO297" s="5">
        <v>0.21467419300336699</v>
      </c>
      <c r="JP297" s="5">
        <v>-9.9193151879726299E-2</v>
      </c>
      <c r="JQ297" s="5">
        <v>0.26646359739307202</v>
      </c>
      <c r="JR297" s="5">
        <v>0.147550298512345</v>
      </c>
      <c r="JS297" s="5">
        <v>2.1484224781433602E-2</v>
      </c>
      <c r="JT297" s="5">
        <v>7.7485435682055799E-3</v>
      </c>
      <c r="JU297" s="5">
        <v>0.13963766506172401</v>
      </c>
      <c r="JV297" s="5">
        <v>-0.15497080114588099</v>
      </c>
      <c r="JW297" s="5">
        <v>0.43364497561822202</v>
      </c>
      <c r="JX297" s="5">
        <v>-1.58362764095003E-3</v>
      </c>
      <c r="JY297" s="5">
        <v>-2.76838575600513E-2</v>
      </c>
      <c r="JZ297" s="5">
        <v>-0.188416398545147</v>
      </c>
      <c r="KA297" s="5">
        <v>0.28694974166328802</v>
      </c>
      <c r="KB297" s="5">
        <v>-4.3514421287766801E-2</v>
      </c>
      <c r="KC297" s="5">
        <v>4.1618796263936898E-4</v>
      </c>
      <c r="KD297" s="5">
        <v>-0.13470288941217501</v>
      </c>
      <c r="KE297" s="5">
        <v>0.26137333953303399</v>
      </c>
      <c r="KF297" s="5">
        <v>-0.17973289289609601</v>
      </c>
      <c r="KG297" s="5">
        <v>0.33795003525890699</v>
      </c>
      <c r="KH297" s="5">
        <v>-0.16164450431885999</v>
      </c>
      <c r="KI297" s="5">
        <v>0.26713808188995802</v>
      </c>
      <c r="KJ297" s="5">
        <v>-0.75256719456794197</v>
      </c>
      <c r="KK297" s="5">
        <v>1</v>
      </c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</row>
    <row r="298" spans="1:389" x14ac:dyDescent="0.45">
      <c r="A298" s="4" t="str">
        <f ca="1">"REU / beta1dist in "&amp;CELL("address",'damages-1990'!$J$150)</f>
        <v>REU / beta1dist in '[BHM betas v3pd.xlsx]damages-1990'!$J$150</v>
      </c>
      <c r="B298" s="6">
        <v>0.22448050529581101</v>
      </c>
      <c r="C298" s="5">
        <v>0.25848034938729297</v>
      </c>
      <c r="D298" s="5">
        <v>0.29859871642837998</v>
      </c>
      <c r="E298" s="5">
        <v>8.2680645274872094E-2</v>
      </c>
      <c r="F298" s="5">
        <v>0.27226491093821698</v>
      </c>
      <c r="G298" s="5">
        <v>5.2621531134706599E-2</v>
      </c>
      <c r="H298" s="5">
        <v>8.4640213188079697E-2</v>
      </c>
      <c r="I298" s="5">
        <v>-2.9471655380057901E-2</v>
      </c>
      <c r="J298" s="5">
        <v>0.169437421020149</v>
      </c>
      <c r="K298" s="5">
        <v>0.20156996413060499</v>
      </c>
      <c r="L298" s="5">
        <v>0.33128166858131403</v>
      </c>
      <c r="M298" s="5">
        <v>7.1401826518542905E-2</v>
      </c>
      <c r="N298" s="5">
        <v>9.9018922581199501E-2</v>
      </c>
      <c r="O298" s="5">
        <v>2.0603881968246699E-2</v>
      </c>
      <c r="P298" s="5">
        <v>6.6245875973864193E-2</v>
      </c>
      <c r="Q298" s="5">
        <v>0.11852818578487199</v>
      </c>
      <c r="R298" s="5">
        <v>0.37150751631950601</v>
      </c>
      <c r="S298" s="5">
        <v>-1.9291816670200999E-2</v>
      </c>
      <c r="T298" s="5">
        <v>2.31481563793243E-3</v>
      </c>
      <c r="U298" s="5">
        <v>0.11707168052106499</v>
      </c>
      <c r="V298" s="5">
        <v>0.22190163085016601</v>
      </c>
      <c r="W298" s="5">
        <v>0.24631922751765001</v>
      </c>
      <c r="X298" s="5">
        <v>0.32775328519192598</v>
      </c>
      <c r="Y298" s="5">
        <v>4.5034504303511899E-2</v>
      </c>
      <c r="Z298" s="5">
        <v>0.19973398026789699</v>
      </c>
      <c r="AA298" s="5">
        <v>3.9580035168894504E-3</v>
      </c>
      <c r="AB298" s="5">
        <v>0.33538604871123201</v>
      </c>
      <c r="AC298" s="5">
        <v>-6.6524660549766496E-2</v>
      </c>
      <c r="AD298" s="5">
        <v>0.227144623278069</v>
      </c>
      <c r="AE298" s="5">
        <v>5.09132197855744E-2</v>
      </c>
      <c r="AF298" s="5">
        <v>0.20372779795110199</v>
      </c>
      <c r="AG298" s="5">
        <v>8.4299184446339603E-2</v>
      </c>
      <c r="AH298" s="5">
        <v>0.19610071526737299</v>
      </c>
      <c r="AI298" s="5">
        <v>0.102131324422643</v>
      </c>
      <c r="AJ298" s="5">
        <v>0.19591554581550999</v>
      </c>
      <c r="AK298" s="5">
        <v>0.16398092037613701</v>
      </c>
      <c r="AL298" s="5">
        <v>0.46668836672604902</v>
      </c>
      <c r="AM298" s="5">
        <v>-0.36977808128553002</v>
      </c>
      <c r="AN298" s="5">
        <v>0.13188251476000801</v>
      </c>
      <c r="AO298" s="5">
        <v>0.10643789179414601</v>
      </c>
      <c r="AP298" s="5">
        <v>-5.3553052677175202E-2</v>
      </c>
      <c r="AQ298" s="5">
        <v>0.169614626376836</v>
      </c>
      <c r="AR298" s="5">
        <v>0.45587176752976799</v>
      </c>
      <c r="AS298" s="5">
        <v>-0.270103058854267</v>
      </c>
      <c r="AT298" s="5">
        <v>0.42529201590377302</v>
      </c>
      <c r="AU298" s="5">
        <v>-0.285279392815247</v>
      </c>
      <c r="AV298" s="5">
        <v>0.440146287478277</v>
      </c>
      <c r="AW298" s="5">
        <v>-0.16452744681994599</v>
      </c>
      <c r="AX298" s="5">
        <v>0.38369540126721702</v>
      </c>
      <c r="AY298" s="5">
        <v>-0.129404527070271</v>
      </c>
      <c r="AZ298" s="5">
        <v>-2.2352422007011499E-2</v>
      </c>
      <c r="BA298" s="5">
        <v>0.185173804072194</v>
      </c>
      <c r="BB298" s="5">
        <v>0.18177067707543801</v>
      </c>
      <c r="BC298" s="5">
        <v>0.23873058775556499</v>
      </c>
      <c r="BD298" s="5">
        <v>0.20802950385549501</v>
      </c>
      <c r="BE298" s="5">
        <v>0.22840507071407201</v>
      </c>
      <c r="BF298" s="5">
        <v>0.316314012244095</v>
      </c>
      <c r="BG298" s="5">
        <v>-2.1064262755748998E-2</v>
      </c>
      <c r="BH298" s="5">
        <v>0.34072855683292502</v>
      </c>
      <c r="BI298" s="5">
        <v>8.8982183736199399E-3</v>
      </c>
      <c r="BJ298" s="5">
        <v>-2.1104771209765699E-2</v>
      </c>
      <c r="BK298" s="5">
        <v>-6.7808159326106995E-2</v>
      </c>
      <c r="BL298" s="5">
        <v>1.29598537330017E-2</v>
      </c>
      <c r="BM298" s="5">
        <v>8.2994576251191096E-2</v>
      </c>
      <c r="BN298" s="5">
        <v>0.15976206305552099</v>
      </c>
      <c r="BO298" s="5">
        <v>1.5711909537171401E-2</v>
      </c>
      <c r="BP298" s="5">
        <v>9.5528908787357106E-2</v>
      </c>
      <c r="BQ298" s="5">
        <v>0.103642471060823</v>
      </c>
      <c r="BR298" s="5">
        <v>0.278953865123722</v>
      </c>
      <c r="BS298" s="5">
        <v>1.2993979057157099E-2</v>
      </c>
      <c r="BT298" s="5">
        <v>0.40760750070979002</v>
      </c>
      <c r="BU298" s="5">
        <v>-6.1732872283234999E-2</v>
      </c>
      <c r="BV298" s="5">
        <v>0.34976830809353299</v>
      </c>
      <c r="BW298" s="5">
        <v>-7.1643418828384996E-3</v>
      </c>
      <c r="BX298" s="5">
        <v>0.38434659386641501</v>
      </c>
      <c r="BY298" s="5">
        <v>-0.112614221983538</v>
      </c>
      <c r="BZ298" s="5">
        <v>0.29693990697140299</v>
      </c>
      <c r="CA298" s="5">
        <v>-1.40655818667838E-2</v>
      </c>
      <c r="CB298" s="5">
        <v>0.48921784946242902</v>
      </c>
      <c r="CC298" s="5">
        <v>-0.283746580818108</v>
      </c>
      <c r="CD298" s="5">
        <v>-3.55287339967411E-3</v>
      </c>
      <c r="CE298" s="5">
        <v>0.245246228938794</v>
      </c>
      <c r="CF298" s="5">
        <v>0.289351508948888</v>
      </c>
      <c r="CG298" s="5">
        <v>-0.12966254725944901</v>
      </c>
      <c r="CH298" s="5">
        <v>0.55540941006937505</v>
      </c>
      <c r="CI298" s="5">
        <v>-0.48321909894131199</v>
      </c>
      <c r="CJ298" s="5">
        <v>0.28884739115243302</v>
      </c>
      <c r="CK298" s="5">
        <v>-1.53762786689693E-2</v>
      </c>
      <c r="CL298" s="5">
        <v>6.2819130050155297E-2</v>
      </c>
      <c r="CM298" s="5">
        <v>9.5520399773338496E-2</v>
      </c>
      <c r="CN298" s="5">
        <v>0.13575972619055601</v>
      </c>
      <c r="CO298" s="5">
        <v>4.7383502567072598E-2</v>
      </c>
      <c r="CP298" s="5">
        <v>-8.9535080299993505E-2</v>
      </c>
      <c r="CQ298" s="5">
        <v>0.277681670191673</v>
      </c>
      <c r="CR298" s="5">
        <v>9.68231183994267E-2</v>
      </c>
      <c r="CS298" s="5">
        <v>0.105563393447447</v>
      </c>
      <c r="CT298" s="5">
        <v>0.101946609666871</v>
      </c>
      <c r="CU298" s="5">
        <v>5.2033733222078696E-3</v>
      </c>
      <c r="CV298" s="5">
        <v>0.22404609818158899</v>
      </c>
      <c r="CW298" s="5">
        <v>-3.39277303925897E-2</v>
      </c>
      <c r="CX298" s="5">
        <v>0.37823701494062101</v>
      </c>
      <c r="CY298" s="5">
        <v>-7.08399621167662E-2</v>
      </c>
      <c r="CZ298" s="5">
        <v>0.35142579159447801</v>
      </c>
      <c r="DA298" s="5">
        <v>-9.5956419111157196E-2</v>
      </c>
      <c r="DB298" s="5">
        <v>0.36236494487915399</v>
      </c>
      <c r="DC298" s="5">
        <v>-2.7657670494080699E-2</v>
      </c>
      <c r="DD298" s="5">
        <v>-7.6043081655489106E-2</v>
      </c>
      <c r="DE298" s="5">
        <v>0.32510222790771198</v>
      </c>
      <c r="DF298" s="5">
        <v>0.10326046485531599</v>
      </c>
      <c r="DG298" s="5">
        <v>0.201269051549297</v>
      </c>
      <c r="DH298" s="5">
        <v>0.26871680108520202</v>
      </c>
      <c r="DI298" s="5">
        <v>0.12179012618517999</v>
      </c>
      <c r="DJ298" s="5">
        <v>-2.1690724398341701E-2</v>
      </c>
      <c r="DK298" s="5">
        <v>8.9334923135489006E-2</v>
      </c>
      <c r="DL298" s="5">
        <v>8.3590069812625997E-2</v>
      </c>
      <c r="DM298" s="5">
        <v>0.27316714572617801</v>
      </c>
      <c r="DN298" s="5">
        <v>-3.9155967714803501E-2</v>
      </c>
      <c r="DO298" s="5">
        <v>5.6354133580878797E-2</v>
      </c>
      <c r="DP298" s="5">
        <v>0.29780535120707302</v>
      </c>
      <c r="DQ298" s="5">
        <v>9.8414148923900002E-3</v>
      </c>
      <c r="DR298" s="5">
        <v>0.28119277166740397</v>
      </c>
      <c r="DS298" s="5">
        <v>-7.9919220627829891E-3</v>
      </c>
      <c r="DT298" s="5">
        <v>4.2646502365384101E-2</v>
      </c>
      <c r="DU298" s="5">
        <v>0.12204702358573399</v>
      </c>
      <c r="DV298" s="5">
        <v>0.28726920693605201</v>
      </c>
      <c r="DW298" s="5">
        <v>-5.69552151025665E-2</v>
      </c>
      <c r="DX298" s="5">
        <v>0.110722135035943</v>
      </c>
      <c r="DY298" s="5">
        <v>3.6561498859841703E-2</v>
      </c>
      <c r="DZ298" s="5">
        <v>0.113805870788198</v>
      </c>
      <c r="EA298" s="5">
        <v>4.0615487363494698E-2</v>
      </c>
      <c r="EB298" s="5">
        <v>0.289459191332051</v>
      </c>
      <c r="EC298" s="5">
        <v>-4.1232234412022298E-3</v>
      </c>
      <c r="ED298" s="5">
        <v>0.332193309313565</v>
      </c>
      <c r="EE298" s="5">
        <v>-5.3794790959148303E-3</v>
      </c>
      <c r="EF298" s="5">
        <v>7.5600277972506402E-2</v>
      </c>
      <c r="EG298" s="5">
        <v>0.11351225373648501</v>
      </c>
      <c r="EH298" s="5">
        <v>0.13240996103891101</v>
      </c>
      <c r="EI298" s="5">
        <v>0.18262225015213801</v>
      </c>
      <c r="EJ298" s="5">
        <v>0.18390553067075499</v>
      </c>
      <c r="EK298" s="5">
        <v>0.12449342878735201</v>
      </c>
      <c r="EL298" s="5">
        <v>0.43284285415686402</v>
      </c>
      <c r="EM298" s="5">
        <v>-0.14772125292914501</v>
      </c>
      <c r="EN298" s="5">
        <v>0.388272419827495</v>
      </c>
      <c r="EO298" s="5">
        <v>-9.3467691583150006E-2</v>
      </c>
      <c r="EP298" s="5">
        <v>5.3760829079106702E-3</v>
      </c>
      <c r="EQ298" s="5">
        <v>0.15425289974851</v>
      </c>
      <c r="ER298" s="5">
        <v>0.44876171362239198</v>
      </c>
      <c r="ES298" s="5">
        <v>-0.20360379845273999</v>
      </c>
      <c r="ET298" s="5">
        <v>0.35864126846941102</v>
      </c>
      <c r="EU298" s="5">
        <v>-0.16834089189417401</v>
      </c>
      <c r="EV298" s="5">
        <v>0.34687920158998198</v>
      </c>
      <c r="EW298" s="5">
        <v>-0.15618743462463999</v>
      </c>
      <c r="EX298" s="5">
        <v>0.30787998788382598</v>
      </c>
      <c r="EY298" s="5">
        <v>-9.2363137245342702E-2</v>
      </c>
      <c r="EZ298" s="5">
        <v>0.40206309837800103</v>
      </c>
      <c r="FA298" s="5">
        <v>-0.14734147376870299</v>
      </c>
      <c r="FB298" s="5">
        <v>0.27191829241778498</v>
      </c>
      <c r="FC298" s="5">
        <v>1.6757233706293999E-2</v>
      </c>
      <c r="FD298" s="5">
        <v>0.35661704595714699</v>
      </c>
      <c r="FE298" s="5">
        <v>-0.16868808655326101</v>
      </c>
      <c r="FF298" s="5">
        <v>0.19762385373010499</v>
      </c>
      <c r="FG298" s="5">
        <v>7.3259590212881198E-2</v>
      </c>
      <c r="FH298" s="5">
        <v>0.44935094327793901</v>
      </c>
      <c r="FI298" s="5">
        <v>-0.19574992197419899</v>
      </c>
      <c r="FJ298" s="5">
        <v>0.296688658893355</v>
      </c>
      <c r="FK298" s="5">
        <v>8.1310685537794997E-2</v>
      </c>
      <c r="FL298" s="5">
        <v>9.3272003160106906E-2</v>
      </c>
      <c r="FM298" s="5">
        <v>8.2668184197126002E-2</v>
      </c>
      <c r="FN298" s="5">
        <v>0.20384285439005101</v>
      </c>
      <c r="FO298" s="5">
        <v>0.24055624674512599</v>
      </c>
      <c r="FP298" s="5">
        <v>0.29292025130914001</v>
      </c>
      <c r="FQ298" s="5">
        <v>5.3042550388444097E-2</v>
      </c>
      <c r="FR298" s="5">
        <v>0.18960089549925199</v>
      </c>
      <c r="FS298" s="5">
        <v>-0.193535651631805</v>
      </c>
      <c r="FT298" s="5">
        <v>0.31269863866682202</v>
      </c>
      <c r="FU298" s="5">
        <v>4.8119644728055799E-2</v>
      </c>
      <c r="FV298" s="5">
        <v>0.38769507370515599</v>
      </c>
      <c r="FW298" s="5">
        <v>-7.5947676068322201E-2</v>
      </c>
      <c r="FX298" s="5">
        <v>0.41096601193671201</v>
      </c>
      <c r="FY298" s="5">
        <v>-0.26018346332245901</v>
      </c>
      <c r="FZ298" s="5">
        <v>0.31000021926881399</v>
      </c>
      <c r="GA298" s="5">
        <v>8.5639115725040293E-2</v>
      </c>
      <c r="GB298" s="5">
        <v>0.21924924392258199</v>
      </c>
      <c r="GC298" s="5">
        <v>0.14133607518886701</v>
      </c>
      <c r="GD298" s="5">
        <v>5.24951209093803E-2</v>
      </c>
      <c r="GE298" s="5">
        <v>7.6944388903380095E-2</v>
      </c>
      <c r="GF298" s="5">
        <v>0.31178366729853002</v>
      </c>
      <c r="GG298" s="5">
        <v>7.4941609325747394E-2</v>
      </c>
      <c r="GH298" s="5">
        <v>8.5691438335872699E-2</v>
      </c>
      <c r="GI298" s="5">
        <v>-8.9651533358369298E-2</v>
      </c>
      <c r="GJ298" s="5">
        <v>0.355620990060312</v>
      </c>
      <c r="GK298" s="5">
        <v>-0.175839717915449</v>
      </c>
      <c r="GL298" s="5">
        <v>-2.7791505910514601E-3</v>
      </c>
      <c r="GM298" s="5">
        <v>0.18917577362715399</v>
      </c>
      <c r="GN298" s="5">
        <v>0.27038156171446898</v>
      </c>
      <c r="GO298" s="5">
        <v>9.9409468537867904E-2</v>
      </c>
      <c r="GP298" s="5">
        <v>0.23844956298717801</v>
      </c>
      <c r="GQ298" s="5">
        <v>9.0273338501578898E-2</v>
      </c>
      <c r="GR298" s="5">
        <v>0.34073407831666902</v>
      </c>
      <c r="GS298" s="5">
        <v>-0.133907745143825</v>
      </c>
      <c r="GT298" s="5">
        <v>0.270496687905663</v>
      </c>
      <c r="GU298" s="5">
        <v>0.115867227598516</v>
      </c>
      <c r="GV298" s="5">
        <v>0.34685626861665397</v>
      </c>
      <c r="GW298" s="5">
        <v>-9.80821254489051E-2</v>
      </c>
      <c r="GX298" s="5">
        <v>0.39225729904499601</v>
      </c>
      <c r="GY298" s="5">
        <v>-0.137664873216788</v>
      </c>
      <c r="GZ298" s="5">
        <v>2.1607868316594701E-3</v>
      </c>
      <c r="HA298" s="5">
        <v>8.92439346744138E-2</v>
      </c>
      <c r="HB298" s="5">
        <v>0.34286083081582103</v>
      </c>
      <c r="HC298" s="5">
        <v>-3.1827389891796697E-2</v>
      </c>
      <c r="HD298" s="5">
        <v>0.29798412158284598</v>
      </c>
      <c r="HE298" s="5">
        <v>0.128018459154461</v>
      </c>
      <c r="HF298" s="5">
        <v>-1.9855161068091501E-2</v>
      </c>
      <c r="HG298" s="5">
        <v>0.125289623185842</v>
      </c>
      <c r="HH298" s="5">
        <v>0.17781377810363</v>
      </c>
      <c r="HI298" s="5">
        <v>1.9326836044652199E-2</v>
      </c>
      <c r="HJ298" s="5">
        <v>-2.33930939208459E-2</v>
      </c>
      <c r="HK298" s="5">
        <v>0.106684856320014</v>
      </c>
      <c r="HL298" s="5">
        <v>0.27274119557839899</v>
      </c>
      <c r="HM298" s="5">
        <v>0.11003132107316101</v>
      </c>
      <c r="HN298" s="5">
        <v>0.147566304588023</v>
      </c>
      <c r="HO298" s="5">
        <v>0.113952820263645</v>
      </c>
      <c r="HP298" s="5">
        <v>0.42758450006812498</v>
      </c>
      <c r="HQ298" s="5">
        <v>-7.2667261471585906E-2</v>
      </c>
      <c r="HR298" s="5">
        <v>0.45740512166789798</v>
      </c>
      <c r="HS298" s="5">
        <v>-0.16682311025270599</v>
      </c>
      <c r="HT298" s="5">
        <v>0.16770486145136099</v>
      </c>
      <c r="HU298" s="5">
        <v>0.126589299177574</v>
      </c>
      <c r="HV298" s="5">
        <v>0.289907698102641</v>
      </c>
      <c r="HW298" s="5">
        <v>-1.8826474050479498E-2</v>
      </c>
      <c r="HX298" s="5">
        <v>0.35326549446668398</v>
      </c>
      <c r="HY298" s="5">
        <v>-4.62486530397886E-3</v>
      </c>
      <c r="HZ298" s="5">
        <v>8.2636354157494596E-2</v>
      </c>
      <c r="IA298" s="5">
        <v>0.120319100501977</v>
      </c>
      <c r="IB298" s="5">
        <v>-5.6209888364977603E-2</v>
      </c>
      <c r="IC298" s="5">
        <v>6.2800785479153104E-2</v>
      </c>
      <c r="ID298" s="5">
        <v>0.29533437104468002</v>
      </c>
      <c r="IE298" s="5">
        <v>9.0000036372080802E-2</v>
      </c>
      <c r="IF298" s="5">
        <v>0.22544892022350599</v>
      </c>
      <c r="IG298" s="5">
        <v>9.5480115119092102E-2</v>
      </c>
      <c r="IH298" s="5">
        <v>7.4182305193390904E-2</v>
      </c>
      <c r="II298" s="5">
        <v>0.111473624601874</v>
      </c>
      <c r="IJ298" s="5">
        <v>0.71517852849427399</v>
      </c>
      <c r="IK298" s="5">
        <v>-0.60255340307752103</v>
      </c>
      <c r="IL298" s="5">
        <v>0.220658875064451</v>
      </c>
      <c r="IM298" s="5">
        <v>0.18037126024067901</v>
      </c>
      <c r="IN298" s="5">
        <v>0.35147144388163498</v>
      </c>
      <c r="IO298" s="5">
        <v>3.8028653770171201E-3</v>
      </c>
      <c r="IP298" s="5">
        <v>0.36858212400859602</v>
      </c>
      <c r="IQ298" s="5">
        <v>1.0979285796738E-2</v>
      </c>
      <c r="IR298" s="5">
        <v>0.438349620745482</v>
      </c>
      <c r="IS298" s="5">
        <v>-0.216814680480408</v>
      </c>
      <c r="IT298" s="5">
        <v>0.35823956281360902</v>
      </c>
      <c r="IU298" s="5">
        <v>-8.5868109080103006E-2</v>
      </c>
      <c r="IV298" s="5">
        <v>0.29787487065646701</v>
      </c>
      <c r="IW298" s="5">
        <v>-2.4389214580653702E-2</v>
      </c>
      <c r="IX298" s="5">
        <v>0.283580345232057</v>
      </c>
      <c r="IY298" s="5">
        <v>-5.9207821671148297E-2</v>
      </c>
      <c r="IZ298" s="5">
        <v>0.19262871298342399</v>
      </c>
      <c r="JA298" s="5">
        <v>-1.9134093530629399E-2</v>
      </c>
      <c r="JB298" s="5">
        <v>-6.6138874065468395E-2</v>
      </c>
      <c r="JC298" s="5">
        <v>9.1441934113144094E-2</v>
      </c>
      <c r="JD298" s="5">
        <v>0.28804240317518798</v>
      </c>
      <c r="JE298" s="5">
        <v>0.21396831368403499</v>
      </c>
      <c r="JF298" s="5">
        <v>0.20329802745074199</v>
      </c>
      <c r="JG298" s="5">
        <v>-0.104918581502735</v>
      </c>
      <c r="JH298" s="5">
        <v>0.29286004347748201</v>
      </c>
      <c r="JI298" s="5">
        <v>-9.1922197706324801E-2</v>
      </c>
      <c r="JJ298" s="5">
        <v>0.17247624642989101</v>
      </c>
      <c r="JK298" s="5">
        <v>0.26922736745875497</v>
      </c>
      <c r="JL298" s="5">
        <v>0.18566238493580101</v>
      </c>
      <c r="JM298" s="5">
        <v>0.21210515001492</v>
      </c>
      <c r="JN298" s="5">
        <v>0.38260476068669302</v>
      </c>
      <c r="JO298" s="5">
        <v>-0.200138244803408</v>
      </c>
      <c r="JP298" s="5">
        <v>0.43980194163638398</v>
      </c>
      <c r="JQ298" s="5">
        <v>-8.28129420323786E-2</v>
      </c>
      <c r="JR298" s="5">
        <v>0.36899836135994102</v>
      </c>
      <c r="JS298" s="5">
        <v>2.49336908046129E-3</v>
      </c>
      <c r="JT298" s="5">
        <v>0.183654634068522</v>
      </c>
      <c r="JU298" s="5">
        <v>5.8462143497087199E-2</v>
      </c>
      <c r="JV298" s="5">
        <v>0.41070436610358502</v>
      </c>
      <c r="JW298" s="5">
        <v>-9.1668933359356206E-2</v>
      </c>
      <c r="JX298" s="5">
        <v>4.7595082132115801E-2</v>
      </c>
      <c r="JY298" s="5">
        <v>0.10467755475608501</v>
      </c>
      <c r="JZ298" s="5">
        <v>0.10989624678844399</v>
      </c>
      <c r="KA298" s="5">
        <v>7.5749272643439794E-2</v>
      </c>
      <c r="KB298" s="5">
        <v>2.5650014515876101E-2</v>
      </c>
      <c r="KC298" s="5">
        <v>9.1649912986143098E-2</v>
      </c>
      <c r="KD298" s="5">
        <v>0.18168576873294101</v>
      </c>
      <c r="KE298" s="5">
        <v>0.182123941394914</v>
      </c>
      <c r="KF298" s="5">
        <v>0.41472970285541499</v>
      </c>
      <c r="KG298" s="5">
        <v>-0.334496640408951</v>
      </c>
      <c r="KH298" s="5">
        <v>0.30430343731556703</v>
      </c>
      <c r="KI298" s="5">
        <v>6.2813165466717794E-2</v>
      </c>
      <c r="KJ298" s="5">
        <v>0.197988348231912</v>
      </c>
      <c r="KK298" s="5">
        <v>0.15914515214069999</v>
      </c>
      <c r="KL298" s="5">
        <v>1</v>
      </c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</row>
    <row r="299" spans="1:389" x14ac:dyDescent="0.45">
      <c r="A299" s="4" t="str">
        <f ca="1">"REU / beta2dist in "&amp;CELL("address",'damages-1990'!$K$150)</f>
        <v>REU / beta2dist in '[BHM betas v3pd.xlsx]damages-1990'!$K$150</v>
      </c>
      <c r="B299" s="6">
        <v>4.1221063336982097E-2</v>
      </c>
      <c r="C299" s="5">
        <v>-0.209809172883761</v>
      </c>
      <c r="D299" s="5">
        <v>-9.0673057328194501E-2</v>
      </c>
      <c r="E299" s="5">
        <v>-2.2060820588022299E-2</v>
      </c>
      <c r="F299" s="5">
        <v>-2.58786897730518E-2</v>
      </c>
      <c r="G299" s="5">
        <v>-4.0601439994577299E-2</v>
      </c>
      <c r="H299" s="5">
        <v>-6.4433803813122595E-2</v>
      </c>
      <c r="I299" s="5">
        <v>5.8136558349007703E-2</v>
      </c>
      <c r="J299" s="5">
        <v>4.4031319865090901E-2</v>
      </c>
      <c r="K299" s="5">
        <v>-0.17472384895807799</v>
      </c>
      <c r="L299" s="5">
        <v>-4.6246008934631697E-2</v>
      </c>
      <c r="M299" s="5">
        <v>-5.9555221084063997E-2</v>
      </c>
      <c r="N299" s="5">
        <v>4.2156847577888797E-2</v>
      </c>
      <c r="O299" s="5">
        <v>-4.8153504751410697E-2</v>
      </c>
      <c r="P299" s="5">
        <v>-5.28220996912264E-2</v>
      </c>
      <c r="Q299" s="5">
        <v>-8.9757192887455095E-4</v>
      </c>
      <c r="R299" s="5">
        <v>-0.14363119756229201</v>
      </c>
      <c r="S299" s="5">
        <v>6.2917487701615898E-2</v>
      </c>
      <c r="T299" s="5">
        <v>7.8013770418733905E-2</v>
      </c>
      <c r="U299" s="5">
        <v>-0.116702418089648</v>
      </c>
      <c r="V299" s="5">
        <v>6.8621456812591103E-2</v>
      </c>
      <c r="W299" s="5">
        <v>-0.25331806401850498</v>
      </c>
      <c r="X299" s="5">
        <v>-0.14137241109995399</v>
      </c>
      <c r="Y299" s="5">
        <v>4.2489743396360601E-2</v>
      </c>
      <c r="Z299" s="5">
        <v>-4.7004594261103302E-2</v>
      </c>
      <c r="AA299" s="5">
        <v>4.1265864498756999E-3</v>
      </c>
      <c r="AB299" s="5">
        <v>-0.22167815817671599</v>
      </c>
      <c r="AC299" s="5">
        <v>0.17367671894394501</v>
      </c>
      <c r="AD299" s="5">
        <v>-0.14987348538760401</v>
      </c>
      <c r="AE299" s="5">
        <v>9.9734622146787605E-2</v>
      </c>
      <c r="AF299" s="5">
        <v>-6.7024395066953499E-2</v>
      </c>
      <c r="AG299" s="5">
        <v>-1.7990928792177702E-2</v>
      </c>
      <c r="AH299" s="5">
        <v>2.4618689426575299E-2</v>
      </c>
      <c r="AI299" s="5">
        <v>-9.3286579304571807E-2</v>
      </c>
      <c r="AJ299" s="5">
        <v>-3.50294936892055E-2</v>
      </c>
      <c r="AK299" s="5">
        <v>-9.8212933940911698E-2</v>
      </c>
      <c r="AL299" s="5">
        <v>-0.33836952122374098</v>
      </c>
      <c r="AM299" s="5">
        <v>0.39151862449724401</v>
      </c>
      <c r="AN299" s="5">
        <v>4.6580161330930098E-2</v>
      </c>
      <c r="AO299" s="5">
        <v>-0.110126632225083</v>
      </c>
      <c r="AP299" s="5">
        <v>0.13554909836312401</v>
      </c>
      <c r="AQ299" s="5">
        <v>-0.167024296071386</v>
      </c>
      <c r="AR299" s="5">
        <v>-0.263608504147333</v>
      </c>
      <c r="AS299" s="5">
        <v>0.29028089834501902</v>
      </c>
      <c r="AT299" s="5">
        <v>-0.27267392594240297</v>
      </c>
      <c r="AU299" s="5">
        <v>0.27850200593063401</v>
      </c>
      <c r="AV299" s="5">
        <v>-0.21004500621361399</v>
      </c>
      <c r="AW299" s="5">
        <v>0.23419004394005599</v>
      </c>
      <c r="AX299" s="5">
        <v>-0.172616440843159</v>
      </c>
      <c r="AY299" s="5">
        <v>0.190437470116608</v>
      </c>
      <c r="AZ299" s="5">
        <v>9.1273584512733402E-2</v>
      </c>
      <c r="BA299" s="5">
        <v>-0.124967291920093</v>
      </c>
      <c r="BB299" s="5">
        <v>5.9338609529618197E-2</v>
      </c>
      <c r="BC299" s="5">
        <v>-0.24499589709624001</v>
      </c>
      <c r="BD299" s="5">
        <v>2.2931845111277799E-2</v>
      </c>
      <c r="BE299" s="5">
        <v>-0.15035355011714599</v>
      </c>
      <c r="BF299" s="5">
        <v>-0.153425893949964</v>
      </c>
      <c r="BG299" s="5">
        <v>6.1376744557703103E-2</v>
      </c>
      <c r="BH299" s="5">
        <v>-0.16254379265239499</v>
      </c>
      <c r="BI299" s="5">
        <v>7.5974301134182395E-2</v>
      </c>
      <c r="BJ299" s="5">
        <v>-2.73236448808272E-2</v>
      </c>
      <c r="BK299" s="5">
        <v>8.4372471042927499E-2</v>
      </c>
      <c r="BL299" s="5">
        <v>3.4074444011740798E-2</v>
      </c>
      <c r="BM299" s="5">
        <v>-6.9856954701885202E-2</v>
      </c>
      <c r="BN299" s="5">
        <v>-7.2956535040297102E-2</v>
      </c>
      <c r="BO299" s="5">
        <v>8.19988340860731E-2</v>
      </c>
      <c r="BP299" s="5">
        <v>4.4628845539553902E-2</v>
      </c>
      <c r="BQ299" s="5">
        <v>-0.108768625447431</v>
      </c>
      <c r="BR299" s="5">
        <v>-0.200279317656408</v>
      </c>
      <c r="BS299" s="5">
        <v>0.12788277894908401</v>
      </c>
      <c r="BT299" s="5">
        <v>-0.24396366656997701</v>
      </c>
      <c r="BU299" s="5">
        <v>0.182298225174127</v>
      </c>
      <c r="BV299" s="5">
        <v>-0.170498083500568</v>
      </c>
      <c r="BW299" s="5">
        <v>9.5168526957099195E-2</v>
      </c>
      <c r="BX299" s="5">
        <v>-0.20951621265143699</v>
      </c>
      <c r="BY299" s="5">
        <v>0.18568155565863201</v>
      </c>
      <c r="BZ299" s="5">
        <v>-0.10670949243099501</v>
      </c>
      <c r="CA299" s="5">
        <v>6.5941375423568094E-2</v>
      </c>
      <c r="CB299" s="5">
        <v>-0.39339327134187702</v>
      </c>
      <c r="CC299" s="5">
        <v>0.38330210164155498</v>
      </c>
      <c r="CD299" s="5">
        <v>0.14901502865128199</v>
      </c>
      <c r="CE299" s="5">
        <v>-0.23675532424915899</v>
      </c>
      <c r="CF299" s="5">
        <v>-0.18180936650586901</v>
      </c>
      <c r="CG299" s="5">
        <v>0.20596527492125</v>
      </c>
      <c r="CH299" s="5">
        <v>-0.43253195908351899</v>
      </c>
      <c r="CI299" s="5">
        <v>0.50716282755181896</v>
      </c>
      <c r="CJ299" s="5">
        <v>-0.17572531026407601</v>
      </c>
      <c r="CK299" s="5">
        <v>9.4952632359171105E-2</v>
      </c>
      <c r="CL299" s="5">
        <v>6.4532848279655497E-2</v>
      </c>
      <c r="CM299" s="5">
        <v>-0.108452006784149</v>
      </c>
      <c r="CN299" s="5">
        <v>1.0243889130886299E-2</v>
      </c>
      <c r="CO299" s="5">
        <v>-5.9630224048083401E-2</v>
      </c>
      <c r="CP299" s="5">
        <v>0.23237561815516999</v>
      </c>
      <c r="CQ299" s="5">
        <v>-0.23902122838023901</v>
      </c>
      <c r="CR299" s="5">
        <v>-4.81292198131184E-2</v>
      </c>
      <c r="CS299" s="5">
        <v>-5.9156510657359896E-3</v>
      </c>
      <c r="CT299" s="5">
        <v>-2.3533564470593502E-2</v>
      </c>
      <c r="CU299" s="5">
        <v>6.8764554212539398E-3</v>
      </c>
      <c r="CV299" s="5">
        <v>-0.16603080852598301</v>
      </c>
      <c r="CW299" s="5">
        <v>0.15480135823178601</v>
      </c>
      <c r="CX299" s="5">
        <v>-0.254565525680508</v>
      </c>
      <c r="CY299" s="5">
        <v>0.217989901189446</v>
      </c>
      <c r="CZ299" s="5">
        <v>-0.17782661685002499</v>
      </c>
      <c r="DA299" s="5">
        <v>0.16073907968264101</v>
      </c>
      <c r="DB299" s="5">
        <v>-0.20147112064987599</v>
      </c>
      <c r="DC299" s="5">
        <v>0.13687497579744401</v>
      </c>
      <c r="DD299" s="5">
        <v>0.22281954357476599</v>
      </c>
      <c r="DE299" s="5">
        <v>-0.25277485907422298</v>
      </c>
      <c r="DF299" s="5">
        <v>0.11534039095621899</v>
      </c>
      <c r="DG299" s="5">
        <v>-0.20251229880888699</v>
      </c>
      <c r="DH299" s="5">
        <v>2.0548534339928499E-2</v>
      </c>
      <c r="DI299" s="5">
        <v>-0.13244197265353699</v>
      </c>
      <c r="DJ299" s="5">
        <v>3.9638033321049301E-2</v>
      </c>
      <c r="DK299" s="5">
        <v>-4.8068952104944697E-2</v>
      </c>
      <c r="DL299" s="5">
        <v>0.14470431487523899</v>
      </c>
      <c r="DM299" s="5">
        <v>-0.23033369281156299</v>
      </c>
      <c r="DN299" s="5">
        <v>9.1099234142432602E-3</v>
      </c>
      <c r="DO299" s="5">
        <v>-7.8406201564945408E-3</v>
      </c>
      <c r="DP299" s="5">
        <v>-3.5657811877883999E-2</v>
      </c>
      <c r="DQ299" s="5">
        <v>-9.2553425560649397E-2</v>
      </c>
      <c r="DR299" s="5">
        <v>-7.3654080525282897E-2</v>
      </c>
      <c r="DS299" s="5">
        <v>2.3844406012093301E-2</v>
      </c>
      <c r="DT299" s="5">
        <v>5.2495979329289198E-2</v>
      </c>
      <c r="DU299" s="5">
        <v>-9.7365153025203002E-2</v>
      </c>
      <c r="DV299" s="5">
        <v>-0.15553696533552699</v>
      </c>
      <c r="DW299" s="5">
        <v>0.13000503130761201</v>
      </c>
      <c r="DX299" s="5">
        <v>-2.6420030185223299E-2</v>
      </c>
      <c r="DY299" s="5">
        <v>-2.5685701382985602E-3</v>
      </c>
      <c r="DZ299" s="5">
        <v>3.3375760531979701E-2</v>
      </c>
      <c r="EA299" s="5">
        <v>-4.81370967761834E-2</v>
      </c>
      <c r="EB299" s="5">
        <v>-0.187693182074469</v>
      </c>
      <c r="EC299" s="5">
        <v>0.13395922605037699</v>
      </c>
      <c r="ED299" s="5">
        <v>-0.203173400605732</v>
      </c>
      <c r="EE299" s="5">
        <v>0.12336460897434599</v>
      </c>
      <c r="EF299" s="5">
        <v>-4.9639073787698301E-2</v>
      </c>
      <c r="EG299" s="5">
        <v>-5.7416915681444596E-3</v>
      </c>
      <c r="EH299" s="5">
        <v>7.8644974698246994E-2</v>
      </c>
      <c r="EI299" s="5">
        <v>-0.13142024660378901</v>
      </c>
      <c r="EJ299" s="5">
        <v>-3.06017959601297E-3</v>
      </c>
      <c r="EK299" s="5">
        <v>-4.0363935631890398E-2</v>
      </c>
      <c r="EL299" s="5">
        <v>-0.27079649249896398</v>
      </c>
      <c r="EM299" s="5">
        <v>0.23562853073784901</v>
      </c>
      <c r="EN299" s="5">
        <v>-0.16479606038730499</v>
      </c>
      <c r="EO299" s="5">
        <v>0.120942103345048</v>
      </c>
      <c r="EP299" s="5">
        <v>7.2958472358548396E-2</v>
      </c>
      <c r="EQ299" s="5">
        <v>-9.2985763120287099E-2</v>
      </c>
      <c r="ER299" s="5">
        <v>-0.230951807777065</v>
      </c>
      <c r="ES299" s="5">
        <v>0.23642787171604601</v>
      </c>
      <c r="ET299" s="5">
        <v>-0.181652411307579</v>
      </c>
      <c r="EU299" s="5">
        <v>0.202570205081089</v>
      </c>
      <c r="EV299" s="5">
        <v>-0.20911489341432801</v>
      </c>
      <c r="EW299" s="5">
        <v>0.235672626500498</v>
      </c>
      <c r="EX299" s="5">
        <v>-8.4242531247123997E-2</v>
      </c>
      <c r="EY299" s="5">
        <v>6.7673231895696198E-2</v>
      </c>
      <c r="EZ299" s="5">
        <v>-0.22017446348018299</v>
      </c>
      <c r="FA299" s="5">
        <v>0.216189556655105</v>
      </c>
      <c r="FB299" s="5">
        <v>-4.78978979304618E-2</v>
      </c>
      <c r="FC299" s="5">
        <v>-8.8583002095062695E-3</v>
      </c>
      <c r="FD299" s="5">
        <v>-0.280934873355357</v>
      </c>
      <c r="FE299" s="5">
        <v>0.29221508358210002</v>
      </c>
      <c r="FF299" s="5">
        <v>1.3565615135692301E-2</v>
      </c>
      <c r="FG299" s="5">
        <v>-8.1628751616112993E-2</v>
      </c>
      <c r="FH299" s="5">
        <v>-0.19615443964562601</v>
      </c>
      <c r="FI299" s="5">
        <v>0.14132277901666099</v>
      </c>
      <c r="FJ299" s="5">
        <v>-0.10525025576283099</v>
      </c>
      <c r="FK299" s="5">
        <v>-3.7272555856407898E-3</v>
      </c>
      <c r="FL299" s="5">
        <v>3.9319165447408599E-2</v>
      </c>
      <c r="FM299" s="5">
        <v>-8.0102758686142E-2</v>
      </c>
      <c r="FN299" s="5">
        <v>3.3389064791676998E-2</v>
      </c>
      <c r="FO299" s="5">
        <v>-0.191803036482741</v>
      </c>
      <c r="FP299" s="5">
        <v>-0.115207597540238</v>
      </c>
      <c r="FQ299" s="5">
        <v>9.9349911696799808E-3</v>
      </c>
      <c r="FR299" s="5">
        <v>-0.195081164595096</v>
      </c>
      <c r="FS299" s="5">
        <v>0.21746022814421601</v>
      </c>
      <c r="FT299" s="5">
        <v>-0.115074284462109</v>
      </c>
      <c r="FU299" s="5">
        <v>1.7952837147371201E-2</v>
      </c>
      <c r="FV299" s="5">
        <v>-0.119762169452397</v>
      </c>
      <c r="FW299" s="5">
        <v>7.4522260383821107E-2</v>
      </c>
      <c r="FX299" s="5">
        <v>-0.349992348739954</v>
      </c>
      <c r="FY299" s="5">
        <v>0.39508175610064</v>
      </c>
      <c r="FZ299" s="5">
        <v>-7.56144091196915E-2</v>
      </c>
      <c r="GA299" s="5">
        <v>-3.7316663866268002E-2</v>
      </c>
      <c r="GB299" s="5">
        <v>4.98120846513294E-2</v>
      </c>
      <c r="GC299" s="5">
        <v>-0.179052219435305</v>
      </c>
      <c r="GD299" s="5">
        <v>5.4740274516110196E-3</v>
      </c>
      <c r="GE299" s="5">
        <v>-3.1798416976858299E-2</v>
      </c>
      <c r="GF299" s="5">
        <v>-7.2022621160553399E-2</v>
      </c>
      <c r="GG299" s="5">
        <v>-6.0152400926559303E-2</v>
      </c>
      <c r="GH299" s="5">
        <v>-6.4431058347784606E-2</v>
      </c>
      <c r="GI299" s="5">
        <v>9.9878112564437002E-2</v>
      </c>
      <c r="GJ299" s="5">
        <v>-0.20604717798883401</v>
      </c>
      <c r="GK299" s="5">
        <v>0.23931508754807099</v>
      </c>
      <c r="GL299" s="5">
        <v>3.2317092382429302E-2</v>
      </c>
      <c r="GM299" s="5">
        <v>-9.4663591571685607E-2</v>
      </c>
      <c r="GN299" s="5">
        <v>1.48803780326372E-2</v>
      </c>
      <c r="GO299" s="5">
        <v>-0.143571556667102</v>
      </c>
      <c r="GP299" s="5">
        <v>-6.69772384214644E-2</v>
      </c>
      <c r="GQ299" s="5">
        <v>-2.7622650620982798E-2</v>
      </c>
      <c r="GR299" s="5">
        <v>-0.19331612645772001</v>
      </c>
      <c r="GS299" s="5">
        <v>0.219281894433316</v>
      </c>
      <c r="GT299" s="5">
        <v>-3.4710990879056103E-2</v>
      </c>
      <c r="GU299" s="5">
        <v>-7.4582493672331898E-2</v>
      </c>
      <c r="GV299" s="5">
        <v>-0.22502788111031999</v>
      </c>
      <c r="GW299" s="5">
        <v>0.193046048936831</v>
      </c>
      <c r="GX299" s="5">
        <v>-0.280009066693233</v>
      </c>
      <c r="GY299" s="5">
        <v>0.27022428076741001</v>
      </c>
      <c r="GZ299" s="5">
        <v>5.2740333751745798E-2</v>
      </c>
      <c r="HA299" s="5">
        <v>-8.7187101450172E-2</v>
      </c>
      <c r="HB299" s="5">
        <v>-0.14298469117509999</v>
      </c>
      <c r="HC299" s="5">
        <v>4.4508650611151099E-2</v>
      </c>
      <c r="HD299" s="5">
        <v>-4.19529368075858E-2</v>
      </c>
      <c r="HE299" s="5">
        <v>-5.62110565851211E-2</v>
      </c>
      <c r="HF299" s="5">
        <v>8.9118058747890999E-2</v>
      </c>
      <c r="HG299" s="5">
        <v>-0.118367164988917</v>
      </c>
      <c r="HH299" s="5">
        <v>-3.41010259644993E-2</v>
      </c>
      <c r="HI299" s="5">
        <v>-1.7857817660244399E-2</v>
      </c>
      <c r="HJ299" s="5">
        <v>6.7663636887468501E-2</v>
      </c>
      <c r="HK299" s="5">
        <v>-8.7064744207910202E-2</v>
      </c>
      <c r="HL299" s="5">
        <v>-1.8769482832529001E-2</v>
      </c>
      <c r="HM299" s="5">
        <v>-8.4873220776519501E-2</v>
      </c>
      <c r="HN299" s="5">
        <v>6.3039846391408597E-2</v>
      </c>
      <c r="HO299" s="5">
        <v>-0.132737563572601</v>
      </c>
      <c r="HP299" s="5">
        <v>-0.25063017053115599</v>
      </c>
      <c r="HQ299" s="5">
        <v>0.19998382217295199</v>
      </c>
      <c r="HR299" s="5">
        <v>-0.22851197631946099</v>
      </c>
      <c r="HS299" s="5">
        <v>0.23288760480794801</v>
      </c>
      <c r="HT299" s="5">
        <v>4.0409100435452899E-2</v>
      </c>
      <c r="HU299" s="5">
        <v>-0.1077457491281</v>
      </c>
      <c r="HV299" s="5">
        <v>-0.18690095474820601</v>
      </c>
      <c r="HW299" s="5">
        <v>0.16149633139062899</v>
      </c>
      <c r="HX299" s="5">
        <v>-0.167458027894241</v>
      </c>
      <c r="HY299" s="5">
        <v>8.86883092857048E-2</v>
      </c>
      <c r="HZ299" s="5">
        <v>6.85756812562614E-2</v>
      </c>
      <c r="IA299" s="5">
        <v>-0.1207583180539</v>
      </c>
      <c r="IB299" s="5">
        <v>9.8154864349599205E-2</v>
      </c>
      <c r="IC299" s="5">
        <v>-8.1996291057923901E-2</v>
      </c>
      <c r="ID299" s="5">
        <v>-6.9666522474812406E-2</v>
      </c>
      <c r="IE299" s="5">
        <v>-5.9193869923129597E-2</v>
      </c>
      <c r="IF299" s="5">
        <v>-4.9263078122575701E-2</v>
      </c>
      <c r="IG299" s="5">
        <v>-1.7827980201245201E-2</v>
      </c>
      <c r="IH299" s="5">
        <v>-2.50748900644138E-2</v>
      </c>
      <c r="II299" s="5">
        <v>-2.1246985499604201E-2</v>
      </c>
      <c r="IJ299" s="5">
        <v>-0.65423112399289396</v>
      </c>
      <c r="IK299" s="5">
        <v>0.71158087184757102</v>
      </c>
      <c r="IL299" s="5">
        <v>2.0015959999559099E-2</v>
      </c>
      <c r="IM299" s="5">
        <v>-0.17693133482482101</v>
      </c>
      <c r="IN299" s="5">
        <v>-0.12424610039320499</v>
      </c>
      <c r="IO299" s="5">
        <v>7.2629851813309498E-3</v>
      </c>
      <c r="IP299" s="5">
        <v>-0.145545026932488</v>
      </c>
      <c r="IQ299" s="5">
        <v>2.1572967709693299E-2</v>
      </c>
      <c r="IR299" s="5">
        <v>-0.34467843685361899</v>
      </c>
      <c r="IS299" s="5">
        <v>0.30392162200140899</v>
      </c>
      <c r="IT299" s="5">
        <v>-0.27650254025573801</v>
      </c>
      <c r="IU299" s="5">
        <v>0.25687413313067398</v>
      </c>
      <c r="IV299" s="5">
        <v>-0.231211503089196</v>
      </c>
      <c r="IW299" s="5">
        <v>0.182599344213218</v>
      </c>
      <c r="IX299" s="5">
        <v>-0.12971640097603401</v>
      </c>
      <c r="IY299" s="5">
        <v>0.12825977339779299</v>
      </c>
      <c r="IZ299" s="5">
        <v>-4.9730979013913101E-2</v>
      </c>
      <c r="JA299" s="5">
        <v>2.0893296743538299E-2</v>
      </c>
      <c r="JB299" s="5">
        <v>1.9113714968230999E-2</v>
      </c>
      <c r="JC299" s="5">
        <v>-3.23572387803127E-2</v>
      </c>
      <c r="JD299" s="5">
        <v>3.1913847691175199E-3</v>
      </c>
      <c r="JE299" s="5">
        <v>-0.17953202091231599</v>
      </c>
      <c r="JF299" s="5">
        <v>-8.6928903989007503E-2</v>
      </c>
      <c r="JG299" s="5">
        <v>0.12583907365084401</v>
      </c>
      <c r="JH299" s="5">
        <v>-0.108786766034717</v>
      </c>
      <c r="JI299" s="5">
        <v>9.0747750707816197E-2</v>
      </c>
      <c r="JJ299" s="5">
        <v>6.5594792425363799E-2</v>
      </c>
      <c r="JK299" s="5">
        <v>-0.230352304829233</v>
      </c>
      <c r="JL299" s="5">
        <v>1.9290847237110501E-2</v>
      </c>
      <c r="JM299" s="5">
        <v>-0.138598228450593</v>
      </c>
      <c r="JN299" s="5">
        <v>-0.28326025550966</v>
      </c>
      <c r="JO299" s="5">
        <v>0.29830459185515501</v>
      </c>
      <c r="JP299" s="5">
        <v>-0.20835825170216499</v>
      </c>
      <c r="JQ299" s="5">
        <v>0.14971497591439401</v>
      </c>
      <c r="JR299" s="5">
        <v>-0.14331228771243501</v>
      </c>
      <c r="JS299" s="5">
        <v>1.29454024916164E-2</v>
      </c>
      <c r="JT299" s="5">
        <v>-1.83662299330935E-2</v>
      </c>
      <c r="JU299" s="5">
        <v>-7.0758886183649006E-2</v>
      </c>
      <c r="JV299" s="5">
        <v>-0.15423950976566</v>
      </c>
      <c r="JW299" s="5">
        <v>6.8759230141733796E-2</v>
      </c>
      <c r="JX299" s="5">
        <v>8.5553485795893794E-2</v>
      </c>
      <c r="JY299" s="5">
        <v>-0.12569980041371101</v>
      </c>
      <c r="JZ299" s="5">
        <v>-0.12006001485088499</v>
      </c>
      <c r="KA299" s="5">
        <v>7.9551210391305902E-2</v>
      </c>
      <c r="KB299" s="5">
        <v>3.96954128215809E-2</v>
      </c>
      <c r="KC299" s="5">
        <v>-5.4149662268312297E-2</v>
      </c>
      <c r="KD299" s="5">
        <v>0.118194325197961</v>
      </c>
      <c r="KE299" s="5">
        <v>-0.24447223604326301</v>
      </c>
      <c r="KF299" s="5">
        <v>-0.23003110444133301</v>
      </c>
      <c r="KG299" s="5">
        <v>0.37636917711547102</v>
      </c>
      <c r="KH299" s="5">
        <v>-0.102485848073447</v>
      </c>
      <c r="KI299" s="5">
        <v>-8.3104386872234195E-4</v>
      </c>
      <c r="KJ299" s="5">
        <v>-2.5686021982005799E-2</v>
      </c>
      <c r="KK299" s="5">
        <v>-9.9043798395650001E-2</v>
      </c>
      <c r="KL299" s="5">
        <v>-0.85883406020626796</v>
      </c>
      <c r="KM299" s="5">
        <v>1</v>
      </c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</row>
    <row r="300" spans="1:389" x14ac:dyDescent="0.45">
      <c r="A300" s="4" t="str">
        <f ca="1">"ROU / beta1dist in "&amp;CELL("address",'damages-1990'!$J$151)</f>
        <v>ROU / beta1dist in '[BHM betas v3pd.xlsx]damages-1990'!$J$151</v>
      </c>
      <c r="B300" s="6">
        <v>0.44896418847427</v>
      </c>
      <c r="C300" s="5">
        <v>-0.23249949169777201</v>
      </c>
      <c r="D300" s="5">
        <v>0.23142617991865</v>
      </c>
      <c r="E300" s="5">
        <v>-0.26869797460253297</v>
      </c>
      <c r="F300" s="5">
        <v>0.69864456189243995</v>
      </c>
      <c r="G300" s="5">
        <v>-0.55092119974473996</v>
      </c>
      <c r="H300" s="5">
        <v>0.506145739573992</v>
      </c>
      <c r="I300" s="5">
        <v>-0.327918064429221</v>
      </c>
      <c r="J300" s="5">
        <v>-7.9210342118527302E-2</v>
      </c>
      <c r="K300" s="5">
        <v>2.32078043427069E-2</v>
      </c>
      <c r="L300" s="5">
        <v>0.26362754987141102</v>
      </c>
      <c r="M300" s="5">
        <v>-4.7060300201417597E-2</v>
      </c>
      <c r="N300" s="5">
        <v>0.58307023623060905</v>
      </c>
      <c r="O300" s="5">
        <v>-0.31910898293929202</v>
      </c>
      <c r="P300" s="5">
        <v>0.114876959442751</v>
      </c>
      <c r="Q300" s="5">
        <v>-0.16188872112602901</v>
      </c>
      <c r="R300" s="5">
        <v>3.2041749378097097E-2</v>
      </c>
      <c r="S300" s="5">
        <v>-3.2879704440139698E-2</v>
      </c>
      <c r="T300" s="5">
        <v>0.74415506686636901</v>
      </c>
      <c r="U300" s="5">
        <v>-0.60031773868509497</v>
      </c>
      <c r="V300" s="5">
        <v>0.51939829969782203</v>
      </c>
      <c r="W300" s="5">
        <v>-0.36912221612913398</v>
      </c>
      <c r="X300" s="5">
        <v>0.211129520764782</v>
      </c>
      <c r="Y300" s="5">
        <v>-0.187197749457893</v>
      </c>
      <c r="Z300" s="5">
        <v>0.68616827923554302</v>
      </c>
      <c r="AA300" s="5">
        <v>-0.53288121951733003</v>
      </c>
      <c r="AB300" s="5">
        <v>0.109782866648793</v>
      </c>
      <c r="AC300" s="5">
        <v>-0.123878001429696</v>
      </c>
      <c r="AD300" s="5">
        <v>0.13440011877747199</v>
      </c>
      <c r="AE300" s="5">
        <v>-0.13012031043855499</v>
      </c>
      <c r="AF300" s="5">
        <v>-3.7871917993814799E-2</v>
      </c>
      <c r="AG300" s="5">
        <v>6.94787295202523E-4</v>
      </c>
      <c r="AH300" s="5">
        <v>0.82370249427050501</v>
      </c>
      <c r="AI300" s="5">
        <v>-0.69018401987401401</v>
      </c>
      <c r="AJ300" s="5">
        <v>-0.115596134131887</v>
      </c>
      <c r="AK300" s="5">
        <v>3.7356107808669201E-2</v>
      </c>
      <c r="AL300" s="5">
        <v>-0.17698699439305399</v>
      </c>
      <c r="AM300" s="5">
        <v>0.18930306684530199</v>
      </c>
      <c r="AN300" s="5">
        <v>0.84006329802016499</v>
      </c>
      <c r="AO300" s="5">
        <v>-0.69532251559257297</v>
      </c>
      <c r="AP300" s="5">
        <v>0.68371059175067705</v>
      </c>
      <c r="AQ300" s="5">
        <v>-0.51995884192397102</v>
      </c>
      <c r="AR300" s="5">
        <v>-4.7886085254883699E-2</v>
      </c>
      <c r="AS300" s="5">
        <v>2.0021188378559599E-2</v>
      </c>
      <c r="AT300" s="5">
        <v>-0.159639782337724</v>
      </c>
      <c r="AU300" s="5">
        <v>0.17118472496736001</v>
      </c>
      <c r="AV300" s="5">
        <v>4.0372754378244302E-3</v>
      </c>
      <c r="AW300" s="5">
        <v>-2.6975142167954099E-2</v>
      </c>
      <c r="AX300" s="5">
        <v>-1.29748159322217E-2</v>
      </c>
      <c r="AY300" s="5">
        <v>-9.0284267696638304E-2</v>
      </c>
      <c r="AZ300" s="5">
        <v>0.12550716829143799</v>
      </c>
      <c r="BA300" s="5">
        <v>-0.142145392928057</v>
      </c>
      <c r="BB300" s="5">
        <v>3.2551117900845201E-2</v>
      </c>
      <c r="BC300" s="5">
        <v>-0.110029357030348</v>
      </c>
      <c r="BD300" s="5">
        <v>0.60280761902666602</v>
      </c>
      <c r="BE300" s="5">
        <v>-0.35892085327421802</v>
      </c>
      <c r="BF300" s="5">
        <v>0.19695030011491799</v>
      </c>
      <c r="BG300" s="5">
        <v>-0.24925218759013301</v>
      </c>
      <c r="BH300" s="5">
        <v>8.0900487099708804E-2</v>
      </c>
      <c r="BI300" s="5">
        <v>-9.4880922286275801E-2</v>
      </c>
      <c r="BJ300" s="5">
        <v>0.434983623660466</v>
      </c>
      <c r="BK300" s="5">
        <v>-0.16404008534011399</v>
      </c>
      <c r="BL300" s="5">
        <v>0.67516965078444202</v>
      </c>
      <c r="BM300" s="5">
        <v>-0.53408306962072905</v>
      </c>
      <c r="BN300" s="5">
        <v>0.43750094204239598</v>
      </c>
      <c r="BO300" s="5">
        <v>-9.9952527833585506E-2</v>
      </c>
      <c r="BP300" s="5">
        <v>0.59400761709469196</v>
      </c>
      <c r="BQ300" s="5">
        <v>-0.32113087988025801</v>
      </c>
      <c r="BR300" s="5">
        <v>0.11795156595523</v>
      </c>
      <c r="BS300" s="5">
        <v>-0.10799341937844099</v>
      </c>
      <c r="BT300" s="5">
        <v>4.0322154804338498E-2</v>
      </c>
      <c r="BU300" s="5">
        <v>-5.4758257459825897E-2</v>
      </c>
      <c r="BV300" s="5">
        <v>8.2441273278518495E-2</v>
      </c>
      <c r="BW300" s="5">
        <v>-0.120849477322824</v>
      </c>
      <c r="BX300" s="5">
        <v>4.4976766112739999E-2</v>
      </c>
      <c r="BY300" s="5">
        <v>-7.3420626996513805E-2</v>
      </c>
      <c r="BZ300" s="5">
        <v>8.1875794778932705E-3</v>
      </c>
      <c r="CA300" s="5">
        <v>-8.6122196777637203E-2</v>
      </c>
      <c r="CB300" s="5">
        <v>-2.2207941720376199E-4</v>
      </c>
      <c r="CC300" s="5">
        <v>-6.0600365906088097E-3</v>
      </c>
      <c r="CD300" s="5">
        <v>0.11293754442158301</v>
      </c>
      <c r="CE300" s="5">
        <v>-0.116115587599327</v>
      </c>
      <c r="CF300" s="5">
        <v>9.5914531947938197E-2</v>
      </c>
      <c r="CG300" s="5">
        <v>-0.11685399658888899</v>
      </c>
      <c r="CH300" s="5">
        <v>-0.15944013543305999</v>
      </c>
      <c r="CI300" s="5">
        <v>0.155952509056411</v>
      </c>
      <c r="CJ300" s="5">
        <v>-2.9995676666421799E-2</v>
      </c>
      <c r="CK300" s="5">
        <v>7.4512781829720501E-2</v>
      </c>
      <c r="CL300" s="5">
        <v>0.77863766248869803</v>
      </c>
      <c r="CM300" s="5">
        <v>-0.63842208665771605</v>
      </c>
      <c r="CN300" s="5">
        <v>0.74250844120606296</v>
      </c>
      <c r="CO300" s="5">
        <v>-0.60092597913206602</v>
      </c>
      <c r="CP300" s="5">
        <v>6.0662620370881E-2</v>
      </c>
      <c r="CQ300" s="5">
        <v>-5.1938261530064297E-2</v>
      </c>
      <c r="CR300" s="5">
        <v>0.137729542398844</v>
      </c>
      <c r="CS300" s="5">
        <v>-0.141670505018997</v>
      </c>
      <c r="CT300" s="5">
        <v>0.58685338509986495</v>
      </c>
      <c r="CU300" s="5">
        <v>-0.441557406868895</v>
      </c>
      <c r="CV300" s="5">
        <v>0.10879583456521601</v>
      </c>
      <c r="CW300" s="5">
        <v>-0.128899496313582</v>
      </c>
      <c r="CX300" s="5">
        <v>-2.3850877467784502E-2</v>
      </c>
      <c r="CY300" s="5">
        <v>1.5908894541849399E-3</v>
      </c>
      <c r="CZ300" s="5">
        <v>9.8439959589345497E-2</v>
      </c>
      <c r="DA300" s="5">
        <v>-0.149071413391097</v>
      </c>
      <c r="DB300" s="5">
        <v>-6.9160278991677496E-2</v>
      </c>
      <c r="DC300" s="5">
        <v>3.4874024206776898E-2</v>
      </c>
      <c r="DD300" s="5">
        <v>0.142847730486758</v>
      </c>
      <c r="DE300" s="5">
        <v>-0.12799257121515001</v>
      </c>
      <c r="DF300" s="5">
        <v>4.5534946580234198E-4</v>
      </c>
      <c r="DG300" s="5">
        <v>-4.27774784470299E-3</v>
      </c>
      <c r="DH300" s="5">
        <v>0.43858197579305702</v>
      </c>
      <c r="DI300" s="5">
        <v>-0.25424206244006398</v>
      </c>
      <c r="DJ300" s="5">
        <v>0.54341172698390205</v>
      </c>
      <c r="DK300" s="5">
        <v>-0.39396923845663501</v>
      </c>
      <c r="DL300" s="5">
        <v>0.15906006682936999</v>
      </c>
      <c r="DM300" s="5">
        <v>-0.117566301335637</v>
      </c>
      <c r="DN300" s="5">
        <v>0.47350904044693098</v>
      </c>
      <c r="DO300" s="5">
        <v>-0.31446179307274802</v>
      </c>
      <c r="DP300" s="5">
        <v>1.5592356255290801E-2</v>
      </c>
      <c r="DQ300" s="5">
        <v>2.0297053347211901E-2</v>
      </c>
      <c r="DR300" s="5">
        <v>0.66644268353479397</v>
      </c>
      <c r="DS300" s="5">
        <v>-0.51157584255390198</v>
      </c>
      <c r="DT300" s="5">
        <v>-6.1580619167460701E-2</v>
      </c>
      <c r="DU300" s="5">
        <v>6.2578626945819102E-2</v>
      </c>
      <c r="DV300" s="5">
        <v>9.1491306993775806E-2</v>
      </c>
      <c r="DW300" s="5">
        <v>-0.12164018739445601</v>
      </c>
      <c r="DX300" s="5">
        <v>0.55831452519860103</v>
      </c>
      <c r="DY300" s="5">
        <v>-0.35951174269022801</v>
      </c>
      <c r="DZ300" s="5">
        <v>0.66447385950420401</v>
      </c>
      <c r="EA300" s="5">
        <v>-0.42869703812061</v>
      </c>
      <c r="EB300" s="5">
        <v>9.6272644467384996E-2</v>
      </c>
      <c r="EC300" s="5">
        <v>-0.10167495814663299</v>
      </c>
      <c r="ED300" s="5">
        <v>7.9097102206176301E-2</v>
      </c>
      <c r="EE300" s="5">
        <v>-7.49285116109914E-2</v>
      </c>
      <c r="EF300" s="5">
        <v>0.138754445557489</v>
      </c>
      <c r="EG300" s="5">
        <v>-0.157864853023609</v>
      </c>
      <c r="EH300" s="5">
        <v>0.14515772440701499</v>
      </c>
      <c r="EI300" s="5">
        <v>-0.17345023929346601</v>
      </c>
      <c r="EJ300" s="5">
        <v>0.15367486962756599</v>
      </c>
      <c r="EK300" s="5">
        <v>-0.177683975383892</v>
      </c>
      <c r="EL300" s="5">
        <v>5.0890965826672603E-3</v>
      </c>
      <c r="EM300" s="5">
        <v>3.5292545362754598E-4</v>
      </c>
      <c r="EN300" s="5">
        <v>0.27443058322671399</v>
      </c>
      <c r="EO300" s="5">
        <v>-0.113529032817863</v>
      </c>
      <c r="EP300" s="5">
        <v>0.133429409077953</v>
      </c>
      <c r="EQ300" s="5">
        <v>-0.15256742741276499</v>
      </c>
      <c r="ER300" s="5">
        <v>2.6685869862142199E-2</v>
      </c>
      <c r="ES300" s="5">
        <v>-5.0911354804834601E-2</v>
      </c>
      <c r="ET300" s="5">
        <v>7.1572605428896499E-2</v>
      </c>
      <c r="EU300" s="5">
        <v>-0.15163317741927401</v>
      </c>
      <c r="EV300" s="5">
        <v>-3.0466184458243901E-3</v>
      </c>
      <c r="EW300" s="5">
        <v>-8.8472223929958904E-2</v>
      </c>
      <c r="EX300" s="5">
        <v>1.9216733291617501E-2</v>
      </c>
      <c r="EY300" s="5">
        <v>-6.4095839263857896E-2</v>
      </c>
      <c r="EZ300" s="5">
        <v>3.3368377647438802E-2</v>
      </c>
      <c r="FA300" s="5">
        <v>-4.9369107004552201E-2</v>
      </c>
      <c r="FB300" s="5">
        <v>0.77785261032550501</v>
      </c>
      <c r="FC300" s="5">
        <v>-0.65810067991784005</v>
      </c>
      <c r="FD300" s="5">
        <v>5.33723240072978E-2</v>
      </c>
      <c r="FE300" s="5">
        <v>-6.7214646598878602E-2</v>
      </c>
      <c r="FF300" s="5">
        <v>0.84298396059793701</v>
      </c>
      <c r="FG300" s="5">
        <v>-0.71664344639092104</v>
      </c>
      <c r="FH300" s="5">
        <v>-0.105364717416104</v>
      </c>
      <c r="FI300" s="5">
        <v>0.15390341003031499</v>
      </c>
      <c r="FJ300" s="5">
        <v>9.3122635187862998E-2</v>
      </c>
      <c r="FK300" s="5">
        <v>-0.122239378761081</v>
      </c>
      <c r="FL300" s="5">
        <v>0.45771236928530401</v>
      </c>
      <c r="FM300" s="5">
        <v>-0.19040651775628001</v>
      </c>
      <c r="FN300" s="5">
        <v>0.21302797174750801</v>
      </c>
      <c r="FO300" s="5">
        <v>-0.117961129090185</v>
      </c>
      <c r="FP300" s="5">
        <v>-7.2414913624790897E-2</v>
      </c>
      <c r="FQ300" s="5">
        <v>7.4226612409942105E-2</v>
      </c>
      <c r="FR300" s="5">
        <v>0.116806505318412</v>
      </c>
      <c r="FS300" s="5">
        <v>0.18793058188276501</v>
      </c>
      <c r="FT300" s="5">
        <v>6.0633207719540403E-3</v>
      </c>
      <c r="FU300" s="5">
        <v>2.5591016369633599E-2</v>
      </c>
      <c r="FV300" s="5">
        <v>0.621102417924836</v>
      </c>
      <c r="FW300" s="5">
        <v>-0.50878164269023296</v>
      </c>
      <c r="FX300" s="5">
        <v>-1.90556690592672E-2</v>
      </c>
      <c r="FY300" s="5">
        <v>5.3709402918428097E-3</v>
      </c>
      <c r="FZ300" s="5">
        <v>6.1927279696879597E-2</v>
      </c>
      <c r="GA300" s="5">
        <v>-2.2754686902469099E-2</v>
      </c>
      <c r="GB300" s="5">
        <v>0.73353153993130404</v>
      </c>
      <c r="GC300" s="5">
        <v>-0.60180119803271404</v>
      </c>
      <c r="GD300" s="5">
        <v>0.57008221200091602</v>
      </c>
      <c r="GE300" s="5">
        <v>-0.353318748592378</v>
      </c>
      <c r="GF300" s="5">
        <v>5.9836388943162198E-2</v>
      </c>
      <c r="GG300" s="5">
        <v>-8.7793535107594994E-2</v>
      </c>
      <c r="GH300" s="5">
        <v>0.33383984005147199</v>
      </c>
      <c r="GI300" s="5">
        <v>-6.8304896337510902E-3</v>
      </c>
      <c r="GJ300" s="5">
        <v>-2.3042393306386001E-2</v>
      </c>
      <c r="GK300" s="5">
        <v>-1.42504427898932E-2</v>
      </c>
      <c r="GL300" s="5">
        <v>0.13386571635939601</v>
      </c>
      <c r="GM300" s="5">
        <v>-0.16504613596473899</v>
      </c>
      <c r="GN300" s="5">
        <v>0.65118568285711198</v>
      </c>
      <c r="GO300" s="5">
        <v>-0.51711831531908403</v>
      </c>
      <c r="GP300" s="5">
        <v>-8.6923450931012905E-2</v>
      </c>
      <c r="GQ300" s="5">
        <v>2.6091922091325499E-2</v>
      </c>
      <c r="GR300" s="5">
        <v>4.2039199109297598E-2</v>
      </c>
      <c r="GS300" s="5">
        <v>-4.2041561150893601E-2</v>
      </c>
      <c r="GT300" s="5">
        <v>0.25083989806828499</v>
      </c>
      <c r="GU300" s="5">
        <v>-8.1983648669761697E-2</v>
      </c>
      <c r="GV300" s="5">
        <v>0.10949657929654701</v>
      </c>
      <c r="GW300" s="5">
        <v>-0.112869058436134</v>
      </c>
      <c r="GX300" s="5">
        <v>-8.1204673306967595E-2</v>
      </c>
      <c r="GY300" s="5">
        <v>5.7069029987125902E-2</v>
      </c>
      <c r="GZ300" s="5">
        <v>0.68875500805478396</v>
      </c>
      <c r="HA300" s="5">
        <v>-0.55335292785336399</v>
      </c>
      <c r="HB300" s="5">
        <v>-2.17779914591207E-2</v>
      </c>
      <c r="HC300" s="5">
        <v>-3.9773391493355501E-2</v>
      </c>
      <c r="HD300" s="5">
        <v>0.40007201357404198</v>
      </c>
      <c r="HE300" s="5">
        <v>-4.8890492704878302E-2</v>
      </c>
      <c r="HF300" s="5">
        <v>0.64283941705298397</v>
      </c>
      <c r="HG300" s="5">
        <v>-0.49103242387554003</v>
      </c>
      <c r="HH300" s="5">
        <v>0.70447257196069102</v>
      </c>
      <c r="HI300" s="5">
        <v>-0.55852862134299797</v>
      </c>
      <c r="HJ300" s="5">
        <v>0.59719787670344104</v>
      </c>
      <c r="HK300" s="5">
        <v>-0.45004032606718902</v>
      </c>
      <c r="HL300" s="5">
        <v>0.152256947865133</v>
      </c>
      <c r="HM300" s="5">
        <v>-5.4914102443774197E-2</v>
      </c>
      <c r="HN300" s="5">
        <v>0.87615837273564701</v>
      </c>
      <c r="HO300" s="5">
        <v>-0.74943487703644796</v>
      </c>
      <c r="HP300" s="5">
        <v>7.6773438062858398E-2</v>
      </c>
      <c r="HQ300" s="5">
        <v>-8.7737159000689902E-2</v>
      </c>
      <c r="HR300" s="5">
        <v>-3.2968634196112899E-3</v>
      </c>
      <c r="HS300" s="5">
        <v>3.90188322689735E-2</v>
      </c>
      <c r="HT300" s="5">
        <v>0.81370765087311203</v>
      </c>
      <c r="HU300" s="5">
        <v>-0.65319382953569705</v>
      </c>
      <c r="HV300" s="5">
        <v>2.16966063610518E-2</v>
      </c>
      <c r="HW300" s="5">
        <v>-4.3074285318628003E-2</v>
      </c>
      <c r="HX300" s="5">
        <v>1.24597294561807E-2</v>
      </c>
      <c r="HY300" s="5">
        <v>-1.5311365950243501E-2</v>
      </c>
      <c r="HZ300" s="5">
        <v>0.82465907268446403</v>
      </c>
      <c r="IA300" s="5">
        <v>-0.66781034767219905</v>
      </c>
      <c r="IB300" s="5">
        <v>0.405182305561261</v>
      </c>
      <c r="IC300" s="5">
        <v>-0.205866389783362</v>
      </c>
      <c r="ID300" s="5">
        <v>0.17953099265084599</v>
      </c>
      <c r="IE300" s="5">
        <v>-0.29988086160295202</v>
      </c>
      <c r="IF300" s="5">
        <v>-2.4888751356871901E-4</v>
      </c>
      <c r="IG300" s="5">
        <v>-1.6869143277045601E-2</v>
      </c>
      <c r="IH300" s="5">
        <v>0.12555567102777701</v>
      </c>
      <c r="II300" s="5">
        <v>-0.15027726579822001</v>
      </c>
      <c r="IJ300" s="5">
        <v>-0.113681698299539</v>
      </c>
      <c r="IK300" s="5">
        <v>0.14991898717070701</v>
      </c>
      <c r="IL300" s="5">
        <v>6.7825003243633802E-2</v>
      </c>
      <c r="IM300" s="5">
        <v>-0.124640055938338</v>
      </c>
      <c r="IN300" s="5">
        <v>-2.9493552571471099E-2</v>
      </c>
      <c r="IO300" s="5">
        <v>1.5196838348613601E-2</v>
      </c>
      <c r="IP300" s="5">
        <v>0.24778311638737999</v>
      </c>
      <c r="IQ300" s="5">
        <v>-0.27823552492563702</v>
      </c>
      <c r="IR300" s="5">
        <v>-4.39324753579661E-2</v>
      </c>
      <c r="IS300" s="5">
        <v>6.3001348658970294E-2</v>
      </c>
      <c r="IT300" s="5">
        <v>1.4126618319205E-2</v>
      </c>
      <c r="IU300" s="5">
        <v>-4.14851533426807E-2</v>
      </c>
      <c r="IV300" s="5">
        <v>0.14253883146914201</v>
      </c>
      <c r="IW300" s="5">
        <v>-0.13479423622949299</v>
      </c>
      <c r="IX300" s="5">
        <v>7.3919869363723106E-2</v>
      </c>
      <c r="IY300" s="5">
        <v>-0.100284936893382</v>
      </c>
      <c r="IZ300" s="5">
        <v>0.66844554922848298</v>
      </c>
      <c r="JA300" s="5">
        <v>-0.51606274381192696</v>
      </c>
      <c r="JB300" s="5">
        <v>0.49805073419313101</v>
      </c>
      <c r="JC300" s="5">
        <v>-0.35876504687729599</v>
      </c>
      <c r="JD300" s="5">
        <v>0.490024932550228</v>
      </c>
      <c r="JE300" s="5">
        <v>-0.28571667610879398</v>
      </c>
      <c r="JF300" s="5">
        <v>4.7806554116681499E-2</v>
      </c>
      <c r="JG300" s="5">
        <v>-6.7009025047050003E-2</v>
      </c>
      <c r="JH300" s="5">
        <v>0.45309789652332699</v>
      </c>
      <c r="JI300" s="5">
        <v>-0.18951156865205199</v>
      </c>
      <c r="JJ300" s="5">
        <v>6.548446352725E-2</v>
      </c>
      <c r="JK300" s="5">
        <v>-0.104404086880043</v>
      </c>
      <c r="JL300" s="5">
        <v>0.14803627411606801</v>
      </c>
      <c r="JM300" s="5">
        <v>-0.139805543816232</v>
      </c>
      <c r="JN300" s="5">
        <v>7.0281296997905002E-2</v>
      </c>
      <c r="JO300" s="5">
        <v>-0.11011538712635199</v>
      </c>
      <c r="JP300" s="5">
        <v>7.7323615400180304E-2</v>
      </c>
      <c r="JQ300" s="5">
        <v>-9.0629285206993995E-2</v>
      </c>
      <c r="JR300" s="5">
        <v>-4.3096375145110499E-2</v>
      </c>
      <c r="JS300" s="5">
        <v>2.6304034845928501E-2</v>
      </c>
      <c r="JT300" s="5">
        <v>-4.8870777873765099E-2</v>
      </c>
      <c r="JU300" s="5">
        <v>4.2193946747085299E-2</v>
      </c>
      <c r="JV300" s="5">
        <v>-9.1013813743851396E-2</v>
      </c>
      <c r="JW300" s="5">
        <v>0.12691461954939001</v>
      </c>
      <c r="JX300" s="5">
        <v>0.77408685064992</v>
      </c>
      <c r="JY300" s="5">
        <v>-0.62880288342355894</v>
      </c>
      <c r="JZ300" s="5">
        <v>9.4953707767148302E-2</v>
      </c>
      <c r="KA300" s="5">
        <v>-0.11952941720574201</v>
      </c>
      <c r="KB300" s="5">
        <v>0.63537835847593704</v>
      </c>
      <c r="KC300" s="5">
        <v>-0.44985294147606703</v>
      </c>
      <c r="KD300" s="5">
        <v>0.28151359666329501</v>
      </c>
      <c r="KE300" s="5">
        <v>-0.14354273720545799</v>
      </c>
      <c r="KF300" s="5">
        <v>-9.2774752302102401E-2</v>
      </c>
      <c r="KG300" s="5">
        <v>0.15209420481487401</v>
      </c>
      <c r="KH300" s="5">
        <v>3.0365706817261001E-2</v>
      </c>
      <c r="KI300" s="5">
        <v>2.36012817065425E-2</v>
      </c>
      <c r="KJ300" s="5">
        <v>-0.13220551036918901</v>
      </c>
      <c r="KK300" s="5">
        <v>5.2855653831645297E-2</v>
      </c>
      <c r="KL300" s="5">
        <v>9.8219540137876399E-2</v>
      </c>
      <c r="KM300" s="5">
        <v>8.6109429555677505E-2</v>
      </c>
      <c r="KN300" s="5">
        <v>1</v>
      </c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</row>
    <row r="301" spans="1:389" x14ac:dyDescent="0.45">
      <c r="A301" s="4" t="str">
        <f ca="1">"ROU / beta2dist in "&amp;CELL("address",'damages-1990'!$K$151)</f>
        <v>ROU / beta2dist in '[BHM betas v3pd.xlsx]damages-1990'!$K$151</v>
      </c>
      <c r="B301" s="6">
        <v>-0.112064323889369</v>
      </c>
      <c r="C301" s="5">
        <v>0.16463280600216801</v>
      </c>
      <c r="D301" s="5">
        <v>-0.123306887746986</v>
      </c>
      <c r="E301" s="5">
        <v>0.32354428065953</v>
      </c>
      <c r="F301" s="5">
        <v>-0.44055129995949999</v>
      </c>
      <c r="G301" s="5">
        <v>0.56821659157839899</v>
      </c>
      <c r="H301" s="5">
        <v>-0.420075679834153</v>
      </c>
      <c r="I301" s="5">
        <v>0.38971289907294698</v>
      </c>
      <c r="J301" s="5">
        <v>0.212206338578566</v>
      </c>
      <c r="K301" s="5">
        <v>-2.7576273567661201E-2</v>
      </c>
      <c r="L301" s="5">
        <v>3.0428363908074799E-2</v>
      </c>
      <c r="M301" s="5">
        <v>-1.69532734105402E-2</v>
      </c>
      <c r="N301" s="5">
        <v>-0.398708512606606</v>
      </c>
      <c r="O301" s="5">
        <v>0.34804116437530402</v>
      </c>
      <c r="P301" s="5">
        <v>-0.116906010965244</v>
      </c>
      <c r="Q301" s="5">
        <v>0.24857766894856101</v>
      </c>
      <c r="R301" s="5">
        <v>0.16652151382724401</v>
      </c>
      <c r="S301" s="5">
        <v>-1.00535626854269E-3</v>
      </c>
      <c r="T301" s="5">
        <v>-0.70648684197553901</v>
      </c>
      <c r="U301" s="5">
        <v>0.74327789413451095</v>
      </c>
      <c r="V301" s="5">
        <v>-0.196844192742296</v>
      </c>
      <c r="W301" s="5">
        <v>0.32053464153957001</v>
      </c>
      <c r="X301" s="5">
        <v>-8.1312945432894704E-2</v>
      </c>
      <c r="Y301" s="5">
        <v>0.22683976789716401</v>
      </c>
      <c r="Z301" s="5">
        <v>-0.51719856332900704</v>
      </c>
      <c r="AA301" s="5">
        <v>0.60227592253443996</v>
      </c>
      <c r="AB301" s="5">
        <v>-6.6872651454114196E-2</v>
      </c>
      <c r="AC301" s="5">
        <v>0.168128044375493</v>
      </c>
      <c r="AD301" s="5">
        <v>-8.7183256403437506E-2</v>
      </c>
      <c r="AE301" s="5">
        <v>0.18086918954103301</v>
      </c>
      <c r="AF301" s="5">
        <v>0.14639490630375501</v>
      </c>
      <c r="AG301" s="5">
        <v>4.8255640379429501E-3</v>
      </c>
      <c r="AH301" s="5">
        <v>-0.61471192567775101</v>
      </c>
      <c r="AI301" s="5">
        <v>0.759058827920707</v>
      </c>
      <c r="AJ301" s="5">
        <v>0.25130854395836499</v>
      </c>
      <c r="AK301" s="5">
        <v>-5.0972848223106597E-2</v>
      </c>
      <c r="AL301" s="5">
        <v>0.31226375065139</v>
      </c>
      <c r="AM301" s="5">
        <v>-0.26207851125716403</v>
      </c>
      <c r="AN301" s="5">
        <v>-0.687344180841161</v>
      </c>
      <c r="AO301" s="5">
        <v>0.80497523048304898</v>
      </c>
      <c r="AP301" s="5">
        <v>-0.61592392543901098</v>
      </c>
      <c r="AQ301" s="5">
        <v>0.62346714099645195</v>
      </c>
      <c r="AR301" s="5">
        <v>0.14156873131103201</v>
      </c>
      <c r="AS301" s="5">
        <v>-5.3717762754539799E-3</v>
      </c>
      <c r="AT301" s="5">
        <v>0.319660537369858</v>
      </c>
      <c r="AU301" s="5">
        <v>-0.27185397861140598</v>
      </c>
      <c r="AV301" s="5">
        <v>0.18145452331825701</v>
      </c>
      <c r="AW301" s="5">
        <v>-3.2667231665026702E-3</v>
      </c>
      <c r="AX301" s="5">
        <v>0.139131499976683</v>
      </c>
      <c r="AY301" s="5">
        <v>0.103479194293883</v>
      </c>
      <c r="AZ301" s="5">
        <v>-0.119146852538285</v>
      </c>
      <c r="BA301" s="5">
        <v>0.21155214009756801</v>
      </c>
      <c r="BB301" s="5">
        <v>5.4426220815950603E-2</v>
      </c>
      <c r="BC301" s="5">
        <v>0.171623956690244</v>
      </c>
      <c r="BD301" s="5">
        <v>-0.293982757682689</v>
      </c>
      <c r="BE301" s="5">
        <v>0.33227227570559298</v>
      </c>
      <c r="BF301" s="5">
        <v>-0.14196957204673599</v>
      </c>
      <c r="BG301" s="5">
        <v>0.331148298697859</v>
      </c>
      <c r="BH301" s="5">
        <v>6.59270574534623E-3</v>
      </c>
      <c r="BI301" s="5">
        <v>0.139027385838183</v>
      </c>
      <c r="BJ301" s="5">
        <v>-0.42067690081213299</v>
      </c>
      <c r="BK301" s="5">
        <v>0.23830997632681</v>
      </c>
      <c r="BL301" s="5">
        <v>-0.62788562608568299</v>
      </c>
      <c r="BM301" s="5">
        <v>0.65811491889494</v>
      </c>
      <c r="BN301" s="5">
        <v>-0.18250615732258599</v>
      </c>
      <c r="BO301" s="5">
        <v>7.0554763528259207E-2</v>
      </c>
      <c r="BP301" s="5">
        <v>-0.34167788476000699</v>
      </c>
      <c r="BQ301" s="5">
        <v>0.273657742231594</v>
      </c>
      <c r="BR301" s="5">
        <v>-8.0375427393162599E-2</v>
      </c>
      <c r="BS301" s="5">
        <v>0.16979187436565499</v>
      </c>
      <c r="BT301" s="5">
        <v>7.4777963716037704E-2</v>
      </c>
      <c r="BU301" s="5">
        <v>8.3028726879084899E-2</v>
      </c>
      <c r="BV301" s="5">
        <v>2.28756990903741E-2</v>
      </c>
      <c r="BW301" s="5">
        <v>0.15392499807594501</v>
      </c>
      <c r="BX301" s="5">
        <v>3.98904004219192E-2</v>
      </c>
      <c r="BY301" s="5">
        <v>0.10646147040775</v>
      </c>
      <c r="BZ301" s="5">
        <v>8.4796054636262594E-2</v>
      </c>
      <c r="CA301" s="5">
        <v>0.114279247406623</v>
      </c>
      <c r="CB301" s="5">
        <v>8.5666177038509594E-2</v>
      </c>
      <c r="CC301" s="5">
        <v>1.46778847202812E-2</v>
      </c>
      <c r="CD301" s="5">
        <v>3.6464435284169201E-3</v>
      </c>
      <c r="CE301" s="5">
        <v>9.30066010668434E-2</v>
      </c>
      <c r="CF301" s="5">
        <v>-4.3609780989273601E-2</v>
      </c>
      <c r="CG301" s="5">
        <v>0.145133531710437</v>
      </c>
      <c r="CH301" s="5">
        <v>0.268904180602485</v>
      </c>
      <c r="CI301" s="5">
        <v>-0.202597313499816</v>
      </c>
      <c r="CJ301" s="5">
        <v>0.229428131961989</v>
      </c>
      <c r="CK301" s="5">
        <v>-0.12895177553927101</v>
      </c>
      <c r="CL301" s="5">
        <v>-0.69884448925270903</v>
      </c>
      <c r="CM301" s="5">
        <v>0.77004115744114499</v>
      </c>
      <c r="CN301" s="5">
        <v>-0.61343515603580501</v>
      </c>
      <c r="CO301" s="5">
        <v>0.70155785476614296</v>
      </c>
      <c r="CP301" s="5">
        <v>-2.3448393697040101E-2</v>
      </c>
      <c r="CQ301" s="5">
        <v>7.9185412003090899E-2</v>
      </c>
      <c r="CR301" s="5">
        <v>-0.116354316835421</v>
      </c>
      <c r="CS301" s="5">
        <v>0.22570914696407701</v>
      </c>
      <c r="CT301" s="5">
        <v>-0.51212122302451701</v>
      </c>
      <c r="CU301" s="5">
        <v>0.53518289684381803</v>
      </c>
      <c r="CV301" s="5">
        <v>-6.96614995862989E-2</v>
      </c>
      <c r="CW301" s="5">
        <v>0.18511229751827801</v>
      </c>
      <c r="CX301" s="5">
        <v>0.18625357894120501</v>
      </c>
      <c r="CY301" s="5">
        <v>-1.97654231450685E-2</v>
      </c>
      <c r="CZ301" s="5">
        <v>-7.7405729526571201E-3</v>
      </c>
      <c r="DA301" s="5">
        <v>0.193599574896655</v>
      </c>
      <c r="DB301" s="5">
        <v>0.259635764835696</v>
      </c>
      <c r="DC301" s="5">
        <v>-7.0491566735908701E-2</v>
      </c>
      <c r="DD301" s="5">
        <v>-9.4371978130958697E-2</v>
      </c>
      <c r="DE301" s="5">
        <v>0.172239275027327</v>
      </c>
      <c r="DF301" s="5">
        <v>0.17774140445957301</v>
      </c>
      <c r="DG301" s="5">
        <v>-5.5597506341585598E-2</v>
      </c>
      <c r="DH301" s="5">
        <v>-0.116634927495238</v>
      </c>
      <c r="DI301" s="5">
        <v>0.183109536050578</v>
      </c>
      <c r="DJ301" s="5">
        <v>-0.48944225194292501</v>
      </c>
      <c r="DK301" s="5">
        <v>0.48639956176472998</v>
      </c>
      <c r="DL301" s="5">
        <v>-5.9021846178763097E-2</v>
      </c>
      <c r="DM301" s="5">
        <v>0.159698624971643</v>
      </c>
      <c r="DN301" s="5">
        <v>-0.44116151491967798</v>
      </c>
      <c r="DO301" s="5">
        <v>0.40983724606656702</v>
      </c>
      <c r="DP301" s="5">
        <v>0.124546148809075</v>
      </c>
      <c r="DQ301" s="5">
        <v>-4.1060542695696901E-2</v>
      </c>
      <c r="DR301" s="5">
        <v>-0.416187035212427</v>
      </c>
      <c r="DS301" s="5">
        <v>0.52772123821755001</v>
      </c>
      <c r="DT301" s="5">
        <v>0.110327354095658</v>
      </c>
      <c r="DU301" s="5">
        <v>-5.6849745821604299E-2</v>
      </c>
      <c r="DV301" s="5">
        <v>-3.77433941602386E-2</v>
      </c>
      <c r="DW301" s="5">
        <v>0.16460479178187401</v>
      </c>
      <c r="DX301" s="5">
        <v>-0.39242665190584303</v>
      </c>
      <c r="DY301" s="5">
        <v>0.374462192285204</v>
      </c>
      <c r="DZ301" s="5">
        <v>-0.47070212338784201</v>
      </c>
      <c r="EA301" s="5">
        <v>0.47064023029519603</v>
      </c>
      <c r="EB301" s="5">
        <v>-4.3672824330117703E-2</v>
      </c>
      <c r="EC301" s="5">
        <v>0.14719418734770001</v>
      </c>
      <c r="ED301" s="5">
        <v>5.0894613885539598E-3</v>
      </c>
      <c r="EE301" s="5">
        <v>0.114941892321301</v>
      </c>
      <c r="EF301" s="5">
        <v>-0.136716373283613</v>
      </c>
      <c r="EG301" s="5">
        <v>0.24822469203616501</v>
      </c>
      <c r="EH301" s="5">
        <v>-4.3645921258312903E-2</v>
      </c>
      <c r="EI301" s="5">
        <v>0.197653087348311</v>
      </c>
      <c r="EJ301" s="5">
        <v>-5.3637280004727103E-2</v>
      </c>
      <c r="EK301" s="5">
        <v>0.210726133817007</v>
      </c>
      <c r="EL301" s="5">
        <v>0.12646101559422701</v>
      </c>
      <c r="EM301" s="5">
        <v>-1.6949963713699098E-2</v>
      </c>
      <c r="EN301" s="5">
        <v>4.7140536061790299E-3</v>
      </c>
      <c r="EO301" s="5">
        <v>5.3185745566480098E-2</v>
      </c>
      <c r="EP301" s="5">
        <v>-0.12820291055459199</v>
      </c>
      <c r="EQ301" s="5">
        <v>0.22753770825976999</v>
      </c>
      <c r="ER301" s="5">
        <v>9.4433252106129004E-2</v>
      </c>
      <c r="ES301" s="5">
        <v>7.0365889277821697E-2</v>
      </c>
      <c r="ET301" s="5">
        <v>6.9080256999515697E-3</v>
      </c>
      <c r="EU301" s="5">
        <v>0.18223032172259501</v>
      </c>
      <c r="EV301" s="5">
        <v>9.2957623372383405E-2</v>
      </c>
      <c r="EW301" s="5">
        <v>0.105828715815821</v>
      </c>
      <c r="EX301" s="5">
        <v>0.121656971775766</v>
      </c>
      <c r="EY301" s="5">
        <v>4.3485065454355598E-2</v>
      </c>
      <c r="EZ301" s="5">
        <v>6.7659627975471898E-2</v>
      </c>
      <c r="FA301" s="5">
        <v>7.9552543702704204E-2</v>
      </c>
      <c r="FB301" s="5">
        <v>-0.55776526497507595</v>
      </c>
      <c r="FC301" s="5">
        <v>0.71508965840841499</v>
      </c>
      <c r="FD301" s="5">
        <v>2.02757456529854E-2</v>
      </c>
      <c r="FE301" s="5">
        <v>9.1050594651084102E-2</v>
      </c>
      <c r="FF301" s="5">
        <v>-0.66298842967192595</v>
      </c>
      <c r="FG301" s="5">
        <v>0.80506741956316197</v>
      </c>
      <c r="FH301" s="5">
        <v>0.25501283103767602</v>
      </c>
      <c r="FI301" s="5">
        <v>-0.21788407616460001</v>
      </c>
      <c r="FJ301" s="5">
        <v>5.61221275107706E-2</v>
      </c>
      <c r="FK301" s="5">
        <v>0.13150986623724001</v>
      </c>
      <c r="FL301" s="5">
        <v>-0.240638813620043</v>
      </c>
      <c r="FM301" s="5">
        <v>0.155561975354645</v>
      </c>
      <c r="FN301" s="5">
        <v>2.9015436199497199E-2</v>
      </c>
      <c r="FO301" s="5">
        <v>9.2794660344582697E-2</v>
      </c>
      <c r="FP301" s="5">
        <v>0.250534637746468</v>
      </c>
      <c r="FQ301" s="5">
        <v>-0.10798541007321</v>
      </c>
      <c r="FR301" s="5">
        <v>3.8448687123801002E-3</v>
      </c>
      <c r="FS301" s="5">
        <v>-0.23542083067282399</v>
      </c>
      <c r="FT301" s="5">
        <v>0.21856894348328201</v>
      </c>
      <c r="FU301" s="5">
        <v>-7.6847798354331795E-2</v>
      </c>
      <c r="FV301" s="5">
        <v>-0.31983154026163702</v>
      </c>
      <c r="FW301" s="5">
        <v>0.46450460176531999</v>
      </c>
      <c r="FX301" s="5">
        <v>0.118240700001379</v>
      </c>
      <c r="FY301" s="5">
        <v>-3.5116127973483799E-3</v>
      </c>
      <c r="FZ301" s="5">
        <v>0.176621541966412</v>
      </c>
      <c r="GA301" s="5">
        <v>-2.4318757149523799E-2</v>
      </c>
      <c r="GB301" s="5">
        <v>-0.46166124125770402</v>
      </c>
      <c r="GC301" s="5">
        <v>0.60918096874792704</v>
      </c>
      <c r="GD301" s="5">
        <v>-0.46519532729926699</v>
      </c>
      <c r="GE301" s="5">
        <v>0.42163073705665999</v>
      </c>
      <c r="GF301" s="5">
        <v>6.9034197393610594E-2</v>
      </c>
      <c r="GG301" s="5">
        <v>0.10123257494349901</v>
      </c>
      <c r="GH301" s="5">
        <v>-0.19504667460810199</v>
      </c>
      <c r="GI301" s="5">
        <v>-2.2867288547393901E-2</v>
      </c>
      <c r="GJ301" s="5">
        <v>0.119859059434065</v>
      </c>
      <c r="GK301" s="5">
        <v>3.8072308899654498E-3</v>
      </c>
      <c r="GL301" s="5">
        <v>-0.143376541049728</v>
      </c>
      <c r="GM301" s="5">
        <v>0.25854070682258201</v>
      </c>
      <c r="GN301" s="5">
        <v>-0.334049959006324</v>
      </c>
      <c r="GO301" s="5">
        <v>0.457824533527046</v>
      </c>
      <c r="GP301" s="5">
        <v>0.22747523789169</v>
      </c>
      <c r="GQ301" s="5">
        <v>-4.0919349119826198E-2</v>
      </c>
      <c r="GR301" s="5">
        <v>9.3936422072765605E-2</v>
      </c>
      <c r="GS301" s="5">
        <v>1.9951131836136001E-2</v>
      </c>
      <c r="GT301" s="5">
        <v>2.9500059237654998E-2</v>
      </c>
      <c r="GU301" s="5">
        <v>3.524803653256E-2</v>
      </c>
      <c r="GV301" s="5">
        <v>-4.8067056113782598E-2</v>
      </c>
      <c r="GW301" s="5">
        <v>0.157761468609218</v>
      </c>
      <c r="GX301" s="5">
        <v>0.24562531210303601</v>
      </c>
      <c r="GY301" s="5">
        <v>-9.1079648218759898E-2</v>
      </c>
      <c r="GZ301" s="5">
        <v>-0.65306637849978499</v>
      </c>
      <c r="HA301" s="5">
        <v>0.684653334923223</v>
      </c>
      <c r="HB301" s="5">
        <v>0.13571855547672901</v>
      </c>
      <c r="HC301" s="5">
        <v>4.8078313652917801E-2</v>
      </c>
      <c r="HD301" s="5">
        <v>-4.10856044376261E-2</v>
      </c>
      <c r="HE301" s="5">
        <v>-3.2328180466314402E-2</v>
      </c>
      <c r="HF301" s="5">
        <v>-0.57874422924649804</v>
      </c>
      <c r="HG301" s="5">
        <v>0.59112625886446002</v>
      </c>
      <c r="HH301" s="5">
        <v>-0.54290228806639196</v>
      </c>
      <c r="HI301" s="5">
        <v>0.63034557746582698</v>
      </c>
      <c r="HJ301" s="5">
        <v>-0.54854719674661701</v>
      </c>
      <c r="HK301" s="5">
        <v>0.55207500890088101</v>
      </c>
      <c r="HL301" s="5">
        <v>0.121440227465822</v>
      </c>
      <c r="HM301" s="5">
        <v>-2.11208033710341E-2</v>
      </c>
      <c r="HN301" s="5">
        <v>-0.70316791363810804</v>
      </c>
      <c r="HO301" s="5">
        <v>0.84285981385364805</v>
      </c>
      <c r="HP301" s="5">
        <v>9.01264351018395E-2</v>
      </c>
      <c r="HQ301" s="5">
        <v>9.0808104397812103E-2</v>
      </c>
      <c r="HR301" s="5">
        <v>0.21388353522857001</v>
      </c>
      <c r="HS301" s="5">
        <v>-8.7060291712643095E-2</v>
      </c>
      <c r="HT301" s="5">
        <v>-0.61195122446027705</v>
      </c>
      <c r="HU301" s="5">
        <v>0.73036501841714296</v>
      </c>
      <c r="HV301" s="5">
        <v>6.3155225834910095E-2</v>
      </c>
      <c r="HW301" s="5">
        <v>6.2661657710286006E-2</v>
      </c>
      <c r="HX301" s="5">
        <v>0.159166289293003</v>
      </c>
      <c r="HY301" s="5">
        <v>-1.8182283764410501E-2</v>
      </c>
      <c r="HZ301" s="5">
        <v>-0.696075568919717</v>
      </c>
      <c r="IA301" s="5">
        <v>0.78702837362842504</v>
      </c>
      <c r="IB301" s="5">
        <v>-0.32697364508829901</v>
      </c>
      <c r="IC301" s="5">
        <v>0.21945584372274099</v>
      </c>
      <c r="ID301" s="5">
        <v>-8.4870384073765001E-2</v>
      </c>
      <c r="IE301" s="5">
        <v>0.37649258400279101</v>
      </c>
      <c r="IF301" s="5">
        <v>0.133239535962619</v>
      </c>
      <c r="IG301" s="5">
        <v>-3.82010726224522E-3</v>
      </c>
      <c r="IH301" s="5">
        <v>-0.11530031829805901</v>
      </c>
      <c r="II301" s="5">
        <v>0.22904490361464899</v>
      </c>
      <c r="IJ301" s="5">
        <v>0.205425315061248</v>
      </c>
      <c r="IK301" s="5">
        <v>-0.177850838675601</v>
      </c>
      <c r="IL301" s="5">
        <v>9.0769117369764202E-2</v>
      </c>
      <c r="IM301" s="5">
        <v>0.119499766111502</v>
      </c>
      <c r="IN301" s="5">
        <v>0.15697988023592699</v>
      </c>
      <c r="IO301" s="5">
        <v>-1.4114382731697E-2</v>
      </c>
      <c r="IP301" s="5">
        <v>-0.13239620220166801</v>
      </c>
      <c r="IQ301" s="5">
        <v>0.347948022291793</v>
      </c>
      <c r="IR301" s="5">
        <v>0.20402488304727601</v>
      </c>
      <c r="IS301" s="5">
        <v>-0.104687506196231</v>
      </c>
      <c r="IT301" s="5">
        <v>7.1178012684514097E-2</v>
      </c>
      <c r="IU301" s="5">
        <v>6.9566746515042396E-2</v>
      </c>
      <c r="IV301" s="5">
        <v>-0.11020919646994699</v>
      </c>
      <c r="IW301" s="5">
        <v>0.19813683772857801</v>
      </c>
      <c r="IX301" s="5">
        <v>-3.4203519471333798E-3</v>
      </c>
      <c r="IY301" s="5">
        <v>0.13412177533135899</v>
      </c>
      <c r="IZ301" s="5">
        <v>-0.52909479899843304</v>
      </c>
      <c r="JA301" s="5">
        <v>0.596584924836703</v>
      </c>
      <c r="JB301" s="5">
        <v>-0.46506779505894302</v>
      </c>
      <c r="JC301" s="5">
        <v>0.45103464477525401</v>
      </c>
      <c r="JD301" s="5">
        <v>-0.13699258368008499</v>
      </c>
      <c r="JE301" s="5">
        <v>0.20145840692453401</v>
      </c>
      <c r="JF301" s="5">
        <v>-5.0244090944681401E-2</v>
      </c>
      <c r="JG301" s="5">
        <v>0.12652226718796</v>
      </c>
      <c r="JH301" s="5">
        <v>-0.130506696186351</v>
      </c>
      <c r="JI301" s="5">
        <v>8.8237043088388395E-2</v>
      </c>
      <c r="JJ301" s="5">
        <v>6.5324533647505997E-2</v>
      </c>
      <c r="JK301" s="5">
        <v>0.13602392098528801</v>
      </c>
      <c r="JL301" s="5">
        <v>4.89746843029071E-2</v>
      </c>
      <c r="JM301" s="5">
        <v>0.129555060879675</v>
      </c>
      <c r="JN301" s="5">
        <v>-1.2753353590493E-2</v>
      </c>
      <c r="JO301" s="5">
        <v>0.15090408487410401</v>
      </c>
      <c r="JP301" s="5">
        <v>0.11010966096143</v>
      </c>
      <c r="JQ301" s="5">
        <v>7.8512978084625595E-2</v>
      </c>
      <c r="JR301" s="5">
        <v>0.18787391163551001</v>
      </c>
      <c r="JS301" s="5">
        <v>-3.3903058566802001E-2</v>
      </c>
      <c r="JT301" s="5">
        <v>0.118541903597301</v>
      </c>
      <c r="JU301" s="5">
        <v>-4.6236468368311898E-2</v>
      </c>
      <c r="JV301" s="5">
        <v>0.26192172348412501</v>
      </c>
      <c r="JW301" s="5">
        <v>-0.18877310776626499</v>
      </c>
      <c r="JX301" s="5">
        <v>-0.69240900986494203</v>
      </c>
      <c r="JY301" s="5">
        <v>0.74968230707318495</v>
      </c>
      <c r="JZ301" s="5">
        <v>-7.7551067194162104E-2</v>
      </c>
      <c r="KA301" s="5">
        <v>0.19634468723967599</v>
      </c>
      <c r="KB301" s="5">
        <v>-0.51156391975206505</v>
      </c>
      <c r="KC301" s="5">
        <v>0.50924975299909603</v>
      </c>
      <c r="KD301" s="5">
        <v>6.3516329770255502E-3</v>
      </c>
      <c r="KE301" s="5">
        <v>7.1120940742457797E-2</v>
      </c>
      <c r="KF301" s="5">
        <v>0.22423854406708299</v>
      </c>
      <c r="KG301" s="5">
        <v>-0.21265352979844701</v>
      </c>
      <c r="KH301" s="5">
        <v>0.199504526654461</v>
      </c>
      <c r="KI301" s="5">
        <v>-6.7226931508603205E-2</v>
      </c>
      <c r="KJ301" s="5">
        <v>0.27463895816045902</v>
      </c>
      <c r="KK301" s="5">
        <v>-7.1990762039242304E-2</v>
      </c>
      <c r="KL301" s="5">
        <v>0.145546337367958</v>
      </c>
      <c r="KM301" s="5">
        <v>-0.153768868365777</v>
      </c>
      <c r="KN301" s="5">
        <v>-0.866784743429732</v>
      </c>
      <c r="KO301" s="5">
        <v>1</v>
      </c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</row>
    <row r="302" spans="1:389" x14ac:dyDescent="0.45">
      <c r="A302" s="4" t="str">
        <f ca="1">"RUS / beta1dist in "&amp;CELL("address",'damages-1990'!$J$152)</f>
        <v>RUS / beta1dist in '[BHM betas v3pd.xlsx]damages-1990'!$J$152</v>
      </c>
      <c r="B302" s="6">
        <v>0.18435299525866</v>
      </c>
      <c r="C302" s="5">
        <v>-0.373462480897639</v>
      </c>
      <c r="D302" s="5">
        <v>-0.24209743551683999</v>
      </c>
      <c r="E302" s="5">
        <v>-7.8848912710478402E-3</v>
      </c>
      <c r="F302" s="5">
        <v>0.21264490258930399</v>
      </c>
      <c r="G302" s="5">
        <v>-0.28697737479605101</v>
      </c>
      <c r="H302" s="5">
        <v>0.61525721815511203</v>
      </c>
      <c r="I302" s="5">
        <v>-0.51702886419795302</v>
      </c>
      <c r="J302" s="5">
        <v>-0.38004476997139103</v>
      </c>
      <c r="K302" s="5">
        <v>8.3251401046135695E-2</v>
      </c>
      <c r="L302" s="5">
        <v>-9.33894767766595E-2</v>
      </c>
      <c r="M302" s="5">
        <v>-1.6466435242332201E-2</v>
      </c>
      <c r="N302" s="5">
        <v>0.244914475092746</v>
      </c>
      <c r="O302" s="5">
        <v>-2.53212750864301E-2</v>
      </c>
      <c r="P302" s="5">
        <v>-0.225235921987887</v>
      </c>
      <c r="Q302" s="5">
        <v>8.1513744720283193E-2</v>
      </c>
      <c r="R302" s="5">
        <v>-0.35580368487681202</v>
      </c>
      <c r="S302" s="5">
        <v>0.110209341525383</v>
      </c>
      <c r="T302" s="5">
        <v>0.478956691972865</v>
      </c>
      <c r="U302" s="5">
        <v>-0.37483905716870503</v>
      </c>
      <c r="V302" s="5">
        <v>0.166275163974139</v>
      </c>
      <c r="W302" s="5">
        <v>-0.36428584184274299</v>
      </c>
      <c r="X302" s="5">
        <v>-0.30870067935767798</v>
      </c>
      <c r="Y302" s="5">
        <v>0.116064781786593</v>
      </c>
      <c r="Z302" s="5">
        <v>0.495600780523272</v>
      </c>
      <c r="AA302" s="5">
        <v>-0.49952972070381901</v>
      </c>
      <c r="AB302" s="5">
        <v>-0.16371036121846</v>
      </c>
      <c r="AC302" s="5">
        <v>3.25469091183117E-2</v>
      </c>
      <c r="AD302" s="5">
        <v>-0.141274943166007</v>
      </c>
      <c r="AE302" s="5">
        <v>-4.1272599885846801E-4</v>
      </c>
      <c r="AF302" s="5">
        <v>-0.34920178621479497</v>
      </c>
      <c r="AG302" s="5">
        <v>0.12235312083567899</v>
      </c>
      <c r="AH302" s="5">
        <v>0.31824028413954097</v>
      </c>
      <c r="AI302" s="5">
        <v>-0.35707239836264798</v>
      </c>
      <c r="AJ302" s="5">
        <v>-0.44463157408180998</v>
      </c>
      <c r="AK302" s="5">
        <v>0.103473423466049</v>
      </c>
      <c r="AL302" s="5">
        <v>-0.54480034941341504</v>
      </c>
      <c r="AM302" s="5">
        <v>0.42939457701797801</v>
      </c>
      <c r="AN302" s="5">
        <v>0.35057395250901402</v>
      </c>
      <c r="AO302" s="5">
        <v>-0.29422653645690799</v>
      </c>
      <c r="AP302" s="5">
        <v>0.66667813166560697</v>
      </c>
      <c r="AQ302" s="5">
        <v>-0.58571424228796598</v>
      </c>
      <c r="AR302" s="5">
        <v>-0.46409358936721401</v>
      </c>
      <c r="AS302" s="5">
        <v>0.26720722619156501</v>
      </c>
      <c r="AT302" s="5">
        <v>-0.47996663711899801</v>
      </c>
      <c r="AU302" s="5">
        <v>0.306284155357256</v>
      </c>
      <c r="AV302" s="5">
        <v>-0.41839875280050898</v>
      </c>
      <c r="AW302" s="5">
        <v>0.16993574415170001</v>
      </c>
      <c r="AX302" s="5">
        <v>-0.52334075255085699</v>
      </c>
      <c r="AY302" s="5">
        <v>0.29202435739187299</v>
      </c>
      <c r="AZ302" s="5">
        <v>-0.245767658407027</v>
      </c>
      <c r="BA302" s="5">
        <v>0.126632535577373</v>
      </c>
      <c r="BB302" s="5">
        <v>-0.26650627417876899</v>
      </c>
      <c r="BC302" s="5">
        <v>-2.39533061230339E-2</v>
      </c>
      <c r="BD302" s="5">
        <v>0.31131117527198399</v>
      </c>
      <c r="BE302" s="5">
        <v>-0.442461610015355</v>
      </c>
      <c r="BF302" s="5">
        <v>-0.23039199222996701</v>
      </c>
      <c r="BG302" s="5">
        <v>-2.7873947153917202E-2</v>
      </c>
      <c r="BH302" s="5">
        <v>-0.35384409327393201</v>
      </c>
      <c r="BI302" s="5">
        <v>0.167342710871691</v>
      </c>
      <c r="BJ302" s="5">
        <v>0.42970928134438402</v>
      </c>
      <c r="BK302" s="5">
        <v>-0.150924457988549</v>
      </c>
      <c r="BL302" s="5">
        <v>0.49091769627161802</v>
      </c>
      <c r="BM302" s="5">
        <v>-0.37454581630838601</v>
      </c>
      <c r="BN302" s="5">
        <v>0.37120611211110799</v>
      </c>
      <c r="BO302" s="5">
        <v>-0.26541650295414199</v>
      </c>
      <c r="BP302" s="5">
        <v>0.59976132478103406</v>
      </c>
      <c r="BQ302" s="5">
        <v>-0.61549353886827995</v>
      </c>
      <c r="BR302" s="5">
        <v>-0.179798469629181</v>
      </c>
      <c r="BS302" s="5">
        <v>8.4139903436410493E-2</v>
      </c>
      <c r="BT302" s="5">
        <v>-0.36201197482212</v>
      </c>
      <c r="BU302" s="5">
        <v>0.16261925347320499</v>
      </c>
      <c r="BV302" s="5">
        <v>-0.339077373149409</v>
      </c>
      <c r="BW302" s="5">
        <v>0.134587261364499</v>
      </c>
      <c r="BX302" s="5">
        <v>-0.27121541058716803</v>
      </c>
      <c r="BY302" s="5">
        <v>0.112998765478904</v>
      </c>
      <c r="BZ302" s="5">
        <v>-0.382744218624194</v>
      </c>
      <c r="CA302" s="5">
        <v>0.171152541980583</v>
      </c>
      <c r="CB302" s="5">
        <v>-0.327057745375116</v>
      </c>
      <c r="CC302" s="5">
        <v>0.18300959375429399</v>
      </c>
      <c r="CD302" s="5">
        <v>-0.123492220601646</v>
      </c>
      <c r="CE302" s="5">
        <v>-3.4730034245279998E-2</v>
      </c>
      <c r="CF302" s="5">
        <v>-0.44407961293022902</v>
      </c>
      <c r="CG302" s="5">
        <v>0.279416466788032</v>
      </c>
      <c r="CH302" s="5">
        <v>-0.47870054699026099</v>
      </c>
      <c r="CI302" s="5">
        <v>0.37199350503137502</v>
      </c>
      <c r="CJ302" s="5">
        <v>-0.18994371187744499</v>
      </c>
      <c r="CK302" s="5">
        <v>-5.9928432330880202E-2</v>
      </c>
      <c r="CL302" s="5">
        <v>0.488798257678352</v>
      </c>
      <c r="CM302" s="5">
        <v>-0.42469520819731699</v>
      </c>
      <c r="CN302" s="5">
        <v>0.52481083205940204</v>
      </c>
      <c r="CO302" s="5">
        <v>-0.50226905077855</v>
      </c>
      <c r="CP302" s="5">
        <v>-0.319511463187862</v>
      </c>
      <c r="CQ302" s="5">
        <v>0.18134354104508801</v>
      </c>
      <c r="CR302" s="5">
        <v>-0.22748399178133799</v>
      </c>
      <c r="CS302" s="5">
        <v>0.102171061555106</v>
      </c>
      <c r="CT302" s="5">
        <v>0.52671553942395299</v>
      </c>
      <c r="CU302" s="5">
        <v>-0.455254939741287</v>
      </c>
      <c r="CV302" s="5">
        <v>-0.21677411876768099</v>
      </c>
      <c r="CW302" s="5">
        <v>8.8933203080009196E-2</v>
      </c>
      <c r="CX302" s="5">
        <v>-0.23731103839144299</v>
      </c>
      <c r="CY302" s="5">
        <v>-5.5764948280211099E-2</v>
      </c>
      <c r="CZ302" s="5">
        <v>-0.32236293140962102</v>
      </c>
      <c r="DA302" s="5">
        <v>0.11612608490290401</v>
      </c>
      <c r="DB302" s="5">
        <v>-0.27640001555882199</v>
      </c>
      <c r="DC302" s="5">
        <v>-0.144881510431662</v>
      </c>
      <c r="DD302" s="5">
        <v>-0.18057446100044799</v>
      </c>
      <c r="DE302" s="5">
        <v>2.72325069540609E-2</v>
      </c>
      <c r="DF302" s="5">
        <v>-0.45773631791896502</v>
      </c>
      <c r="DG302" s="5">
        <v>0.249440095848072</v>
      </c>
      <c r="DH302" s="5">
        <v>4.1119516461807198E-2</v>
      </c>
      <c r="DI302" s="5">
        <v>-0.17004094801742001</v>
      </c>
      <c r="DJ302" s="5">
        <v>0.62544563746234405</v>
      </c>
      <c r="DK302" s="5">
        <v>-0.53031236177442798</v>
      </c>
      <c r="DL302" s="5">
        <v>-0.31270774664847301</v>
      </c>
      <c r="DM302" s="5">
        <v>0.13856919773110399</v>
      </c>
      <c r="DN302" s="5">
        <v>0.65413993841316198</v>
      </c>
      <c r="DO302" s="5">
        <v>-0.52501252263871301</v>
      </c>
      <c r="DP302" s="5">
        <v>-5.65180095081627E-2</v>
      </c>
      <c r="DQ302" s="5">
        <v>-0.10916472164836501</v>
      </c>
      <c r="DR302" s="5">
        <v>0.38372957550276299</v>
      </c>
      <c r="DS302" s="5">
        <v>-0.454076774997073</v>
      </c>
      <c r="DT302" s="5">
        <v>-0.29700416467860602</v>
      </c>
      <c r="DU302" s="5">
        <v>0.19686114265572899</v>
      </c>
      <c r="DV302" s="5">
        <v>-0.118828815149777</v>
      </c>
      <c r="DW302" s="5">
        <v>-2.49570075649523E-2</v>
      </c>
      <c r="DX302" s="5">
        <v>0.64626944317244095</v>
      </c>
      <c r="DY302" s="5">
        <v>-0.59433150100380605</v>
      </c>
      <c r="DZ302" s="5">
        <v>0.32524309013932001</v>
      </c>
      <c r="EA302" s="5">
        <v>-0.148913006676923</v>
      </c>
      <c r="EB302" s="5">
        <v>-0.24642358889552499</v>
      </c>
      <c r="EC302" s="5">
        <v>0.103461858539656</v>
      </c>
      <c r="ED302" s="5">
        <v>-0.26156904424169902</v>
      </c>
      <c r="EE302" s="5">
        <v>0.111549278585099</v>
      </c>
      <c r="EF302" s="5">
        <v>-0.22093274869417101</v>
      </c>
      <c r="EG302" s="5">
        <v>9.03536447601095E-2</v>
      </c>
      <c r="EH302" s="5">
        <v>-0.31807047993411902</v>
      </c>
      <c r="EI302" s="5">
        <v>8.3178280423892401E-2</v>
      </c>
      <c r="EJ302" s="5">
        <v>-0.269226696611858</v>
      </c>
      <c r="EK302" s="5">
        <v>4.6791411099035903E-2</v>
      </c>
      <c r="EL302" s="5">
        <v>-0.46694287018907299</v>
      </c>
      <c r="EM302" s="5">
        <v>0.32596855434203598</v>
      </c>
      <c r="EN302" s="5">
        <v>-6.8042181710574598E-3</v>
      </c>
      <c r="EO302" s="5">
        <v>-0.136627745901929</v>
      </c>
      <c r="EP302" s="5">
        <v>-0.240944377172401</v>
      </c>
      <c r="EQ302" s="5">
        <v>0.10823519423125599</v>
      </c>
      <c r="ER302" s="5">
        <v>-0.40518821265150901</v>
      </c>
      <c r="ES302" s="5">
        <v>0.21205470936495099</v>
      </c>
      <c r="ET302" s="5">
        <v>-0.44874754557778501</v>
      </c>
      <c r="EU302" s="5">
        <v>0.270777469593107</v>
      </c>
      <c r="EV302" s="5">
        <v>-0.42233965685243002</v>
      </c>
      <c r="EW302" s="5">
        <v>0.17698318125068599</v>
      </c>
      <c r="EX302" s="5">
        <v>-0.423096320261653</v>
      </c>
      <c r="EY302" s="5">
        <v>0.245541743181141</v>
      </c>
      <c r="EZ302" s="5">
        <v>-0.37677922425845001</v>
      </c>
      <c r="FA302" s="5">
        <v>0.16477952003151999</v>
      </c>
      <c r="FB302" s="5">
        <v>0.24524230426514501</v>
      </c>
      <c r="FC302" s="5">
        <v>-0.27176149434970498</v>
      </c>
      <c r="FD302" s="5">
        <v>-0.28930906414247198</v>
      </c>
      <c r="FE302" s="5">
        <v>0.17261079263871801</v>
      </c>
      <c r="FF302" s="5">
        <v>0.35213719518517</v>
      </c>
      <c r="FG302" s="5">
        <v>-0.36288479680881802</v>
      </c>
      <c r="FH302" s="5">
        <v>-0.41579543789915702</v>
      </c>
      <c r="FI302" s="5">
        <v>0.29344294851827102</v>
      </c>
      <c r="FJ302" s="5">
        <v>-0.19342753948133001</v>
      </c>
      <c r="FK302" s="5">
        <v>-0.118380408197022</v>
      </c>
      <c r="FL302" s="5">
        <v>0.60445521359059295</v>
      </c>
      <c r="FM302" s="5">
        <v>-0.51087800010270401</v>
      </c>
      <c r="FN302" s="5">
        <v>-5.5825820420720797E-2</v>
      </c>
      <c r="FO302" s="5">
        <v>-0.18802693754567701</v>
      </c>
      <c r="FP302" s="5">
        <v>-0.36943423716139401</v>
      </c>
      <c r="FQ302" s="5">
        <v>5.36085684650306E-2</v>
      </c>
      <c r="FR302" s="5">
        <v>0.34076737057636902</v>
      </c>
      <c r="FS302" s="5">
        <v>-0.110557572319552</v>
      </c>
      <c r="FT302" s="5">
        <v>-0.27144948857756701</v>
      </c>
      <c r="FU302" s="5">
        <v>-8.2193685826292703E-2</v>
      </c>
      <c r="FV302" s="5">
        <v>0.124094639928702</v>
      </c>
      <c r="FW302" s="5">
        <v>-0.21094369912613201</v>
      </c>
      <c r="FX302" s="5">
        <v>-0.49656316195185501</v>
      </c>
      <c r="FY302" s="5">
        <v>0.35704692544558603</v>
      </c>
      <c r="FZ302" s="5">
        <v>-0.25958490910392601</v>
      </c>
      <c r="GA302" s="5">
        <v>-0.100483515074007</v>
      </c>
      <c r="GB302" s="5">
        <v>0.41304247965873703</v>
      </c>
      <c r="GC302" s="5">
        <v>-0.54614150405247397</v>
      </c>
      <c r="GD302" s="5">
        <v>0.58475645159641398</v>
      </c>
      <c r="GE302" s="5">
        <v>-0.493219339415914</v>
      </c>
      <c r="GF302" s="5">
        <v>-0.34605133883018901</v>
      </c>
      <c r="GG302" s="5">
        <v>0.147811781661215</v>
      </c>
      <c r="GH302" s="5">
        <v>0.39827260615341697</v>
      </c>
      <c r="GI302" s="5">
        <v>-0.121344590876763</v>
      </c>
      <c r="GJ302" s="5">
        <v>-0.43873165686059001</v>
      </c>
      <c r="GK302" s="5">
        <v>0.256184512024688</v>
      </c>
      <c r="GL302" s="5">
        <v>-0.192339427050497</v>
      </c>
      <c r="GM302" s="5">
        <v>5.0063908711109599E-2</v>
      </c>
      <c r="GN302" s="5">
        <v>0.34653469562322398</v>
      </c>
      <c r="GO302" s="5">
        <v>-0.51395438226994505</v>
      </c>
      <c r="GP302" s="5">
        <v>-0.46413487336158299</v>
      </c>
      <c r="GQ302" s="5">
        <v>0.12016009669763</v>
      </c>
      <c r="GR302" s="5">
        <v>-0.35202376806763802</v>
      </c>
      <c r="GS302" s="5">
        <v>0.19731950691924199</v>
      </c>
      <c r="GT302" s="5">
        <v>-8.1612535527982602E-2</v>
      </c>
      <c r="GU302" s="5">
        <v>-0.109652467917397</v>
      </c>
      <c r="GV302" s="5">
        <v>-0.18450408698419099</v>
      </c>
      <c r="GW302" s="5">
        <v>0.123238868168191</v>
      </c>
      <c r="GX302" s="5">
        <v>-0.21411283469978201</v>
      </c>
      <c r="GY302" s="5">
        <v>-9.93643219775142E-2</v>
      </c>
      <c r="GZ302" s="5">
        <v>0.487771473209136</v>
      </c>
      <c r="HA302" s="5">
        <v>-0.37690475058742401</v>
      </c>
      <c r="HB302" s="5">
        <v>-0.49781740788527501</v>
      </c>
      <c r="HC302" s="5">
        <v>0.32329626824885099</v>
      </c>
      <c r="HD302" s="5">
        <v>0.230224673894104</v>
      </c>
      <c r="HE302" s="5">
        <v>-0.29681896433716998</v>
      </c>
      <c r="HF302" s="5">
        <v>0.64055872286373505</v>
      </c>
      <c r="HG302" s="5">
        <v>-0.56558164755556395</v>
      </c>
      <c r="HH302" s="5">
        <v>0.51471184632214995</v>
      </c>
      <c r="HI302" s="5">
        <v>-0.51112079637836905</v>
      </c>
      <c r="HJ302" s="5">
        <v>0.64263480612533597</v>
      </c>
      <c r="HK302" s="5">
        <v>-0.55385423285754998</v>
      </c>
      <c r="HL302" s="5">
        <v>-0.34475996881955401</v>
      </c>
      <c r="HM302" s="5">
        <v>0.16913610136972701</v>
      </c>
      <c r="HN302" s="5">
        <v>0.47443592229463999</v>
      </c>
      <c r="HO302" s="5">
        <v>-0.50278593273457695</v>
      </c>
      <c r="HP302" s="5">
        <v>-0.23431289945897699</v>
      </c>
      <c r="HQ302" s="5">
        <v>-2.06691355530111E-2</v>
      </c>
      <c r="HR302" s="5">
        <v>-0.46186881224107801</v>
      </c>
      <c r="HS302" s="5">
        <v>0.32781197417807201</v>
      </c>
      <c r="HT302" s="5">
        <v>0.31969384449605698</v>
      </c>
      <c r="HU302" s="5">
        <v>-0.320925632273523</v>
      </c>
      <c r="HV302" s="5">
        <v>-0.119851288178558</v>
      </c>
      <c r="HW302" s="5">
        <v>-9.8274589653531599E-2</v>
      </c>
      <c r="HX302" s="5">
        <v>-0.34358685044481102</v>
      </c>
      <c r="HY302" s="5">
        <v>0.14845492762211299</v>
      </c>
      <c r="HZ302" s="5">
        <v>0.38187164919225502</v>
      </c>
      <c r="IA302" s="5">
        <v>-0.286622021621736</v>
      </c>
      <c r="IB302" s="5">
        <v>0.60214697158141395</v>
      </c>
      <c r="IC302" s="5">
        <v>-0.47703743847645602</v>
      </c>
      <c r="ID302" s="5">
        <v>-0.22407887083337899</v>
      </c>
      <c r="IE302" s="5">
        <v>-0.126217606216703</v>
      </c>
      <c r="IF302" s="5">
        <v>-0.29457424237319202</v>
      </c>
      <c r="IG302" s="5">
        <v>5.0214155509991899E-2</v>
      </c>
      <c r="IH302" s="5">
        <v>-0.25395909511404702</v>
      </c>
      <c r="II302" s="5">
        <v>0.12189007319941</v>
      </c>
      <c r="IJ302" s="5">
        <v>-0.32103845187352897</v>
      </c>
      <c r="IK302" s="5">
        <v>0.236722592620695</v>
      </c>
      <c r="IL302" s="5">
        <v>-0.26781253177541797</v>
      </c>
      <c r="IM302" s="5">
        <v>-3.6765776006642201E-2</v>
      </c>
      <c r="IN302" s="5">
        <v>-0.44557523304276098</v>
      </c>
      <c r="IO302" s="5">
        <v>0.25908156006806099</v>
      </c>
      <c r="IP302" s="5">
        <v>-0.31104942663829199</v>
      </c>
      <c r="IQ302" s="5">
        <v>4.4777653551752297E-2</v>
      </c>
      <c r="IR302" s="5">
        <v>-0.23991677786870799</v>
      </c>
      <c r="IS302" s="5">
        <v>6.1765185310932599E-2</v>
      </c>
      <c r="IT302" s="5">
        <v>-0.12080114148965999</v>
      </c>
      <c r="IU302" s="5">
        <v>-0.127649499930374</v>
      </c>
      <c r="IV302" s="5">
        <v>-4.01993063942939E-2</v>
      </c>
      <c r="IW302" s="5">
        <v>-0.108788773626909</v>
      </c>
      <c r="IX302" s="5">
        <v>-0.37736481880038197</v>
      </c>
      <c r="IY302" s="5">
        <v>0.191894907838666</v>
      </c>
      <c r="IZ302" s="5">
        <v>0.461990556721951</v>
      </c>
      <c r="JA302" s="5">
        <v>-0.437902107582605</v>
      </c>
      <c r="JB302" s="5">
        <v>0.61699266291501498</v>
      </c>
      <c r="JC302" s="5">
        <v>-0.48995612260160798</v>
      </c>
      <c r="JD302" s="5">
        <v>0.19663276258020099</v>
      </c>
      <c r="JE302" s="5">
        <v>-0.41107545883860602</v>
      </c>
      <c r="JF302" s="5">
        <v>-0.22248708338371601</v>
      </c>
      <c r="JG302" s="5">
        <v>0.114891317279545</v>
      </c>
      <c r="JH302" s="5">
        <v>6.9554814245079102E-2</v>
      </c>
      <c r="JI302" s="5">
        <v>9.3338457111758005E-2</v>
      </c>
      <c r="JJ302" s="5">
        <v>-0.36994691302807298</v>
      </c>
      <c r="JK302" s="5">
        <v>5.4862246244268498E-2</v>
      </c>
      <c r="JL302" s="5">
        <v>-0.13385361648694599</v>
      </c>
      <c r="JM302" s="5">
        <v>-0.160072507613818</v>
      </c>
      <c r="JN302" s="5">
        <v>-0.34354610218515402</v>
      </c>
      <c r="JO302" s="5">
        <v>0.17220764936782901</v>
      </c>
      <c r="JP302" s="5">
        <v>-0.40837735207638898</v>
      </c>
      <c r="JQ302" s="5">
        <v>0.185251515154784</v>
      </c>
      <c r="JR302" s="5">
        <v>-0.29319587598089197</v>
      </c>
      <c r="JS302" s="5">
        <v>7.3167172755870895E-4</v>
      </c>
      <c r="JT302" s="5">
        <v>-0.224755000926979</v>
      </c>
      <c r="JU302" s="5">
        <v>4.6852857629770102E-2</v>
      </c>
      <c r="JV302" s="5">
        <v>-0.40186021564229402</v>
      </c>
      <c r="JW302" s="5">
        <v>0.200186791118907</v>
      </c>
      <c r="JX302" s="5">
        <v>0.56306387676165404</v>
      </c>
      <c r="JY302" s="5">
        <v>-0.51907304387908604</v>
      </c>
      <c r="JZ302" s="5">
        <v>-0.26792512354498099</v>
      </c>
      <c r="KA302" s="5">
        <v>0.13650643129603399</v>
      </c>
      <c r="KB302" s="5">
        <v>0.66545479627207105</v>
      </c>
      <c r="KC302" s="5">
        <v>-0.59149835596631195</v>
      </c>
      <c r="KD302" s="5">
        <v>-0.14748109918642599</v>
      </c>
      <c r="KE302" s="5">
        <v>2.6135555138299201E-3</v>
      </c>
      <c r="KF302" s="5">
        <v>-0.38147763958723302</v>
      </c>
      <c r="KG302" s="5">
        <v>0.266056486359314</v>
      </c>
      <c r="KH302" s="5">
        <v>-0.24221501688796401</v>
      </c>
      <c r="KI302" s="5">
        <v>-9.3584889827037193E-2</v>
      </c>
      <c r="KJ302" s="5">
        <v>-0.467336445325927</v>
      </c>
      <c r="KK302" s="5">
        <v>0.13380971634011599</v>
      </c>
      <c r="KL302" s="5">
        <v>-0.194231592664138</v>
      </c>
      <c r="KM302" s="5">
        <v>0.19112081472759701</v>
      </c>
      <c r="KN302" s="5">
        <v>0.47593987216727401</v>
      </c>
      <c r="KO302" s="5">
        <v>-0.45069008779728098</v>
      </c>
      <c r="KP302" s="5">
        <v>1</v>
      </c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</row>
    <row r="303" spans="1:389" x14ac:dyDescent="0.45">
      <c r="A303" s="4" t="str">
        <f ca="1">"RUS / beta2dist in "&amp;CELL("address",'damages-1990'!$K$152)</f>
        <v>RUS / beta2dist in '[BHM betas v3pd.xlsx]damages-1990'!$K$152</v>
      </c>
      <c r="B303" s="6">
        <v>-7.4442658446709997E-2</v>
      </c>
      <c r="C303" s="5">
        <v>0.24377557340472</v>
      </c>
      <c r="D303" s="5">
        <v>0.151493417173343</v>
      </c>
      <c r="E303" s="5">
        <v>2.82728619746045E-4</v>
      </c>
      <c r="F303" s="5">
        <v>-4.2583214236473599E-2</v>
      </c>
      <c r="G303" s="5">
        <v>0.12974211097344401</v>
      </c>
      <c r="H303" s="5">
        <v>-0.43494391656981601</v>
      </c>
      <c r="I303" s="5">
        <v>0.49406516769724501</v>
      </c>
      <c r="J303" s="5">
        <v>0.28837397770665102</v>
      </c>
      <c r="K303" s="5">
        <v>-0.13507054593199999</v>
      </c>
      <c r="L303" s="5">
        <v>0.12933168810729601</v>
      </c>
      <c r="M303" s="5">
        <v>-5.55721216255202E-2</v>
      </c>
      <c r="N303" s="5">
        <v>-2.7984536168508E-2</v>
      </c>
      <c r="O303" s="5">
        <v>-6.6374253346952294E-2</v>
      </c>
      <c r="P303" s="5">
        <v>0.19221771566926599</v>
      </c>
      <c r="Q303" s="5">
        <v>-0.11905843961068301</v>
      </c>
      <c r="R303" s="5">
        <v>0.30925318354186498</v>
      </c>
      <c r="S303" s="5">
        <v>-0.169229180812943</v>
      </c>
      <c r="T303" s="5">
        <v>-0.28564529151198498</v>
      </c>
      <c r="U303" s="5">
        <v>0.31096242313494799</v>
      </c>
      <c r="V303" s="5">
        <v>-5.2816774998970403E-2</v>
      </c>
      <c r="W303" s="5">
        <v>0.231182657496563</v>
      </c>
      <c r="X303" s="5">
        <v>0.26347568473118999</v>
      </c>
      <c r="Y303" s="5">
        <v>-0.177666358014793</v>
      </c>
      <c r="Z303" s="5">
        <v>-0.32796586782811399</v>
      </c>
      <c r="AA303" s="5">
        <v>0.44364235362465798</v>
      </c>
      <c r="AB303" s="5">
        <v>7.6098030316492399E-2</v>
      </c>
      <c r="AC303" s="5">
        <v>-3.6987685486257998E-2</v>
      </c>
      <c r="AD303" s="5">
        <v>9.2529119983436298E-2</v>
      </c>
      <c r="AE303" s="5">
        <v>-4.0967457651594499E-2</v>
      </c>
      <c r="AF303" s="5">
        <v>0.15990200816512801</v>
      </c>
      <c r="AG303" s="5">
        <v>-2.9908230885299199E-2</v>
      </c>
      <c r="AH303" s="5">
        <v>-0.14664519995002501</v>
      </c>
      <c r="AI303" s="5">
        <v>0.22655926023338299</v>
      </c>
      <c r="AJ303" s="5">
        <v>0.368256450516319</v>
      </c>
      <c r="AK303" s="5">
        <v>-0.168340136386364</v>
      </c>
      <c r="AL303" s="5">
        <v>0.51417510158189195</v>
      </c>
      <c r="AM303" s="5">
        <v>-0.495482885437728</v>
      </c>
      <c r="AN303" s="5">
        <v>-0.14026888024543899</v>
      </c>
      <c r="AO303" s="5">
        <v>0.17362682672758301</v>
      </c>
      <c r="AP303" s="5">
        <v>-0.53995704574719605</v>
      </c>
      <c r="AQ303" s="5">
        <v>0.59818309554161497</v>
      </c>
      <c r="AR303" s="5">
        <v>0.34497483049477401</v>
      </c>
      <c r="AS303" s="5">
        <v>-0.24180391054623901</v>
      </c>
      <c r="AT303" s="5">
        <v>0.47717643671694698</v>
      </c>
      <c r="AU303" s="5">
        <v>-0.38454722504987399</v>
      </c>
      <c r="AV303" s="5">
        <v>0.30777107874300302</v>
      </c>
      <c r="AW303" s="5">
        <v>-0.16781244828116901</v>
      </c>
      <c r="AX303" s="5">
        <v>0.41032214410168999</v>
      </c>
      <c r="AY303" s="5">
        <v>-0.31789324646056699</v>
      </c>
      <c r="AZ303" s="5">
        <v>0.22344087496402701</v>
      </c>
      <c r="BA303" s="5">
        <v>-0.163500409979211</v>
      </c>
      <c r="BB303" s="5">
        <v>0.16023820365167801</v>
      </c>
      <c r="BC303" s="5">
        <v>1.7002318478232002E-2</v>
      </c>
      <c r="BD303" s="5">
        <v>-0.103887822912218</v>
      </c>
      <c r="BE303" s="5">
        <v>0.22754675571847099</v>
      </c>
      <c r="BF303" s="5">
        <v>0.192125553858503</v>
      </c>
      <c r="BG303" s="5">
        <v>-1.8696196555788299E-2</v>
      </c>
      <c r="BH303" s="5">
        <v>0.25075733280947499</v>
      </c>
      <c r="BI303" s="5">
        <v>-0.17296471991833201</v>
      </c>
      <c r="BJ303" s="5">
        <v>-0.19368432605781699</v>
      </c>
      <c r="BK303" s="5">
        <v>9.2706215647222007E-2</v>
      </c>
      <c r="BL303" s="5">
        <v>-0.285043048678292</v>
      </c>
      <c r="BM303" s="5">
        <v>0.31329781254746503</v>
      </c>
      <c r="BN303" s="5">
        <v>-0.17645728854759499</v>
      </c>
      <c r="BO303" s="5">
        <v>0.19131167251536399</v>
      </c>
      <c r="BP303" s="5">
        <v>-0.32872705676540898</v>
      </c>
      <c r="BQ303" s="5">
        <v>0.45126078851491203</v>
      </c>
      <c r="BR303" s="5">
        <v>0.14494672301698899</v>
      </c>
      <c r="BS303" s="5">
        <v>-0.13680528361152799</v>
      </c>
      <c r="BT303" s="5">
        <v>0.28032563958828099</v>
      </c>
      <c r="BU303" s="5">
        <v>-0.191989065318284</v>
      </c>
      <c r="BV303" s="5">
        <v>0.252523578658429</v>
      </c>
      <c r="BW303" s="5">
        <v>-0.16946296915981199</v>
      </c>
      <c r="BX303" s="5">
        <v>0.184550327530277</v>
      </c>
      <c r="BY303" s="5">
        <v>-0.13072184349431401</v>
      </c>
      <c r="BZ303" s="5">
        <v>0.25265757411183298</v>
      </c>
      <c r="CA303" s="5">
        <v>-0.15565797283242599</v>
      </c>
      <c r="CB303" s="5">
        <v>0.25096521902116797</v>
      </c>
      <c r="CC303" s="5">
        <v>-0.19696484297588701</v>
      </c>
      <c r="CD303" s="5">
        <v>8.1987803495881501E-2</v>
      </c>
      <c r="CE303" s="5">
        <v>1.7235672531539601E-2</v>
      </c>
      <c r="CF303" s="5">
        <v>0.38119933917018201</v>
      </c>
      <c r="CG303" s="5">
        <v>-0.29783859696378501</v>
      </c>
      <c r="CH303" s="5">
        <v>0.43774312667522602</v>
      </c>
      <c r="CI303" s="5">
        <v>-0.40665015637537399</v>
      </c>
      <c r="CJ303" s="5">
        <v>0.13941386153767199</v>
      </c>
      <c r="CK303" s="5">
        <v>5.4052375812686702E-2</v>
      </c>
      <c r="CL303" s="5">
        <v>-0.29850769111511599</v>
      </c>
      <c r="CM303" s="5">
        <v>0.35993349694996202</v>
      </c>
      <c r="CN303" s="5">
        <v>-0.34410707935846402</v>
      </c>
      <c r="CO303" s="5">
        <v>0.44667646625090601</v>
      </c>
      <c r="CP303" s="5">
        <v>0.2649358750379</v>
      </c>
      <c r="CQ303" s="5">
        <v>-0.214773922234509</v>
      </c>
      <c r="CR303" s="5">
        <v>0.203539967583414</v>
      </c>
      <c r="CS303" s="5">
        <v>-0.132867446677401</v>
      </c>
      <c r="CT303" s="5">
        <v>-0.40002590481868799</v>
      </c>
      <c r="CU303" s="5">
        <v>0.45112521543814599</v>
      </c>
      <c r="CV303" s="5">
        <v>0.21661331648587001</v>
      </c>
      <c r="CW303" s="5">
        <v>-0.169641433856171</v>
      </c>
      <c r="CX303" s="5">
        <v>0.12405744923216901</v>
      </c>
      <c r="CY303" s="5">
        <v>6.5002257374323996E-2</v>
      </c>
      <c r="CZ303" s="5">
        <v>0.21108519043732299</v>
      </c>
      <c r="DA303" s="5">
        <v>-0.104229379867929</v>
      </c>
      <c r="DB303" s="5">
        <v>0.14740001238904499</v>
      </c>
      <c r="DC303" s="5">
        <v>0.16666053146450899</v>
      </c>
      <c r="DD303" s="5">
        <v>0.13525861522621599</v>
      </c>
      <c r="DE303" s="5">
        <v>-8.2368480245859105E-2</v>
      </c>
      <c r="DF303" s="5">
        <v>0.403157654285353</v>
      </c>
      <c r="DG303" s="5">
        <v>-0.29107431693941499</v>
      </c>
      <c r="DH303" s="5">
        <v>8.3391542057168005E-2</v>
      </c>
      <c r="DI303" s="5">
        <v>2.02873635089224E-2</v>
      </c>
      <c r="DJ303" s="5">
        <v>-0.50528330943262501</v>
      </c>
      <c r="DK303" s="5">
        <v>0.54864474713998201</v>
      </c>
      <c r="DL303" s="5">
        <v>0.25808440690633599</v>
      </c>
      <c r="DM303" s="5">
        <v>-0.18472868718871999</v>
      </c>
      <c r="DN303" s="5">
        <v>-0.53345494140000305</v>
      </c>
      <c r="DO303" s="5">
        <v>0.56668939037298205</v>
      </c>
      <c r="DP303" s="5">
        <v>-4.43395016729713E-2</v>
      </c>
      <c r="DQ303" s="5">
        <v>0.121033343803633</v>
      </c>
      <c r="DR303" s="5">
        <v>-0.20665673407209201</v>
      </c>
      <c r="DS303" s="5">
        <v>0.34014642483313401</v>
      </c>
      <c r="DT303" s="5">
        <v>0.206080891875737</v>
      </c>
      <c r="DU303" s="5">
        <v>-0.18162490556432101</v>
      </c>
      <c r="DV303" s="5">
        <v>7.8215100148073605E-2</v>
      </c>
      <c r="DW303" s="5">
        <v>-2.4070329776315399E-2</v>
      </c>
      <c r="DX303" s="5">
        <v>-0.48970091242030001</v>
      </c>
      <c r="DY303" s="5">
        <v>0.57604648988781804</v>
      </c>
      <c r="DZ303" s="5">
        <v>-0.112280730231551</v>
      </c>
      <c r="EA303" s="5">
        <v>5.8557961427573198E-2</v>
      </c>
      <c r="EB303" s="5">
        <v>0.18162142165584</v>
      </c>
      <c r="EC303" s="5">
        <v>-0.14168742352194699</v>
      </c>
      <c r="ED303" s="5">
        <v>0.186080790941128</v>
      </c>
      <c r="EE303" s="5">
        <v>-0.13749139934826099</v>
      </c>
      <c r="EF303" s="5">
        <v>0.19903347626783199</v>
      </c>
      <c r="EG303" s="5">
        <v>-0.12625474812831</v>
      </c>
      <c r="EH303" s="5">
        <v>0.247373482895966</v>
      </c>
      <c r="EI303" s="5">
        <v>-0.12205918559262301</v>
      </c>
      <c r="EJ303" s="5">
        <v>0.19935621872023199</v>
      </c>
      <c r="EK303" s="5">
        <v>-8.4214720040420604E-2</v>
      </c>
      <c r="EL303" s="5">
        <v>0.389835861514997</v>
      </c>
      <c r="EM303" s="5">
        <v>-0.34590017569479098</v>
      </c>
      <c r="EN303" s="5">
        <v>5.47661533388238E-2</v>
      </c>
      <c r="EO303" s="5">
        <v>7.2024577991741903E-2</v>
      </c>
      <c r="EP303" s="5">
        <v>0.23259177150152699</v>
      </c>
      <c r="EQ303" s="5">
        <v>-0.16551426301056901</v>
      </c>
      <c r="ER303" s="5">
        <v>0.292933372639885</v>
      </c>
      <c r="ES303" s="5">
        <v>-0.20391694743559599</v>
      </c>
      <c r="ET303" s="5">
        <v>0.34702087996015302</v>
      </c>
      <c r="EU303" s="5">
        <v>-0.28197927132949102</v>
      </c>
      <c r="EV303" s="5">
        <v>0.253576548003699</v>
      </c>
      <c r="EW303" s="5">
        <v>-0.11922635164301</v>
      </c>
      <c r="EX303" s="5">
        <v>0.30118130987535002</v>
      </c>
      <c r="EY303" s="5">
        <v>-0.20577273679607999</v>
      </c>
      <c r="EZ303" s="5">
        <v>0.27190402685534099</v>
      </c>
      <c r="FA303" s="5">
        <v>-0.15861134711494401</v>
      </c>
      <c r="FB303" s="5">
        <v>-6.4836962862915695E-2</v>
      </c>
      <c r="FC303" s="5">
        <v>0.131492809341029</v>
      </c>
      <c r="FD303" s="5">
        <v>0.26788544562310401</v>
      </c>
      <c r="FE303" s="5">
        <v>-0.244370270184885</v>
      </c>
      <c r="FF303" s="5">
        <v>-0.175448577520531</v>
      </c>
      <c r="FG303" s="5">
        <v>0.24976575903721601</v>
      </c>
      <c r="FH303" s="5">
        <v>0.30034170980052799</v>
      </c>
      <c r="FI303" s="5">
        <v>-0.28071598322505198</v>
      </c>
      <c r="FJ303" s="5">
        <v>4.4834336408877601E-2</v>
      </c>
      <c r="FK303" s="5">
        <v>0.15075679995414301</v>
      </c>
      <c r="FL303" s="5">
        <v>-0.470929205020993</v>
      </c>
      <c r="FM303" s="5">
        <v>0.50902956593468196</v>
      </c>
      <c r="FN303" s="5">
        <v>5.8303662333305903E-2</v>
      </c>
      <c r="FO303" s="5">
        <v>0.11000996200891</v>
      </c>
      <c r="FP303" s="5">
        <v>0.29716298704222799</v>
      </c>
      <c r="FQ303" s="5">
        <v>-9.38895810769039E-2</v>
      </c>
      <c r="FR303" s="5">
        <v>-0.184878006566844</v>
      </c>
      <c r="FS303" s="5">
        <v>9.9252398939744996E-2</v>
      </c>
      <c r="FT303" s="5">
        <v>0.16838713268772801</v>
      </c>
      <c r="FU303" s="5">
        <v>9.8284896701659699E-2</v>
      </c>
      <c r="FV303" s="5">
        <v>2.3011279090879001E-2</v>
      </c>
      <c r="FW303" s="5">
        <v>6.0316766494294898E-2</v>
      </c>
      <c r="FX303" s="5">
        <v>0.467452979645545</v>
      </c>
      <c r="FY303" s="5">
        <v>-0.41463929196421201</v>
      </c>
      <c r="FZ303" s="5">
        <v>0.18203823528750701</v>
      </c>
      <c r="GA303" s="5">
        <v>9.0661818547918396E-2</v>
      </c>
      <c r="GB303" s="5">
        <v>-0.26208090781946403</v>
      </c>
      <c r="GC303" s="5">
        <v>0.43951671305318302</v>
      </c>
      <c r="GD303" s="5">
        <v>-0.45227452216290898</v>
      </c>
      <c r="GE303" s="5">
        <v>0.50156745625420496</v>
      </c>
      <c r="GF303" s="5">
        <v>0.21984739248875401</v>
      </c>
      <c r="GG303" s="5">
        <v>-0.14056048519818601</v>
      </c>
      <c r="GH303" s="5">
        <v>-0.15477412960071499</v>
      </c>
      <c r="GI303" s="5">
        <v>1.80422372987777E-2</v>
      </c>
      <c r="GJ303" s="5">
        <v>0.33256248884744399</v>
      </c>
      <c r="GK303" s="5">
        <v>-0.26025753643251098</v>
      </c>
      <c r="GL303" s="5">
        <v>0.17610099822366801</v>
      </c>
      <c r="GM303" s="5">
        <v>-9.8149102832848098E-2</v>
      </c>
      <c r="GN303" s="5">
        <v>-0.16456284551962799</v>
      </c>
      <c r="GO303" s="5">
        <v>0.33621563314226299</v>
      </c>
      <c r="GP303" s="5">
        <v>0.38716314416939601</v>
      </c>
      <c r="GQ303" s="5">
        <v>-0.17520997356504101</v>
      </c>
      <c r="GR303" s="5">
        <v>0.24837160086144</v>
      </c>
      <c r="GS303" s="5">
        <v>-0.17908440790677399</v>
      </c>
      <c r="GT303" s="5">
        <v>8.3749035151322399E-2</v>
      </c>
      <c r="GU303" s="5">
        <v>8.4320874168036006E-2</v>
      </c>
      <c r="GV303" s="5">
        <v>0.16977522432546999</v>
      </c>
      <c r="GW303" s="5">
        <v>-0.20032741215143299</v>
      </c>
      <c r="GX303" s="5">
        <v>0.10101050858841</v>
      </c>
      <c r="GY303" s="5">
        <v>0.116791123165876</v>
      </c>
      <c r="GZ303" s="5">
        <v>-0.28913061382947602</v>
      </c>
      <c r="HA303" s="5">
        <v>0.31899209371404103</v>
      </c>
      <c r="HB303" s="5">
        <v>0.42303401416227798</v>
      </c>
      <c r="HC303" s="5">
        <v>-0.35647461375653899</v>
      </c>
      <c r="HD303" s="5">
        <v>-9.9868861678072102E-2</v>
      </c>
      <c r="HE303" s="5">
        <v>0.18199611046036099</v>
      </c>
      <c r="HF303" s="5">
        <v>-0.507199607460184</v>
      </c>
      <c r="HG303" s="5">
        <v>0.56956461539932801</v>
      </c>
      <c r="HH303" s="5">
        <v>-0.32730511506466098</v>
      </c>
      <c r="HI303" s="5">
        <v>0.44206302222170901</v>
      </c>
      <c r="HJ303" s="5">
        <v>-0.52450930359728598</v>
      </c>
      <c r="HK303" s="5">
        <v>0.57093852377030496</v>
      </c>
      <c r="HL303" s="5">
        <v>0.35097594713357</v>
      </c>
      <c r="HM303" s="5">
        <v>-0.241180006661431</v>
      </c>
      <c r="HN303" s="5">
        <v>-0.33588247532100002</v>
      </c>
      <c r="HO303" s="5">
        <v>0.44712442082457698</v>
      </c>
      <c r="HP303" s="5">
        <v>0.200773621434712</v>
      </c>
      <c r="HQ303" s="5">
        <v>-5.90755844846148E-2</v>
      </c>
      <c r="HR303" s="5">
        <v>0.37583322764774002</v>
      </c>
      <c r="HS303" s="5">
        <v>-0.35085838104754002</v>
      </c>
      <c r="HT303" s="5">
        <v>-0.116839506625217</v>
      </c>
      <c r="HU303" s="5">
        <v>0.16693111239930999</v>
      </c>
      <c r="HV303" s="5">
        <v>2.4410937972483499E-4</v>
      </c>
      <c r="HW303" s="5">
        <v>0.116947227805417</v>
      </c>
      <c r="HX303" s="5">
        <v>0.242612746110659</v>
      </c>
      <c r="HY303" s="5">
        <v>-0.15075064017777301</v>
      </c>
      <c r="HZ303" s="5">
        <v>-0.16052166840209101</v>
      </c>
      <c r="IA303" s="5">
        <v>0.172416778653394</v>
      </c>
      <c r="IB303" s="5">
        <v>-0.44284760121060801</v>
      </c>
      <c r="IC303" s="5">
        <v>0.46639317992532398</v>
      </c>
      <c r="ID303" s="5">
        <v>0.17335412188667801</v>
      </c>
      <c r="IE303" s="5">
        <v>4.7485422119284401E-2</v>
      </c>
      <c r="IF303" s="5">
        <v>0.20216367385079601</v>
      </c>
      <c r="IG303" s="5">
        <v>-6.7530831940694799E-2</v>
      </c>
      <c r="IH303" s="5">
        <v>0.220686410623852</v>
      </c>
      <c r="II303" s="5">
        <v>-0.153220997794136</v>
      </c>
      <c r="IJ303" s="5">
        <v>0.21381080267048899</v>
      </c>
      <c r="IK303" s="5">
        <v>-0.18198292917718201</v>
      </c>
      <c r="IL303" s="5">
        <v>0.21662778989669099</v>
      </c>
      <c r="IM303" s="5">
        <v>-3.5220554180788899E-2</v>
      </c>
      <c r="IN303" s="5">
        <v>0.34161118353033498</v>
      </c>
      <c r="IO303" s="5">
        <v>-0.26583119803377298</v>
      </c>
      <c r="IP303" s="5">
        <v>0.25359407230936998</v>
      </c>
      <c r="IQ303" s="5">
        <v>-7.2144314393869702E-2</v>
      </c>
      <c r="IR303" s="5">
        <v>0.224959612542319</v>
      </c>
      <c r="IS303" s="5">
        <v>-0.119045769446858</v>
      </c>
      <c r="IT303" s="5">
        <v>-9.6584524698075207E-3</v>
      </c>
      <c r="IU303" s="5">
        <v>0.155851108592548</v>
      </c>
      <c r="IV303" s="5">
        <v>5.7133062417440697E-3</v>
      </c>
      <c r="IW303" s="5">
        <v>5.6145517368013501E-2</v>
      </c>
      <c r="IX303" s="5">
        <v>0.29665306355659499</v>
      </c>
      <c r="IY303" s="5">
        <v>-0.20881121234289299</v>
      </c>
      <c r="IZ303" s="5">
        <v>-0.309192824631847</v>
      </c>
      <c r="JA303" s="5">
        <v>0.40007027035053899</v>
      </c>
      <c r="JB303" s="5">
        <v>-0.45741631183916398</v>
      </c>
      <c r="JC303" s="5">
        <v>0.49429835299761099</v>
      </c>
      <c r="JD303" s="5">
        <v>-7.73624016067406E-2</v>
      </c>
      <c r="JE303" s="5">
        <v>0.25927655211174</v>
      </c>
      <c r="JF303" s="5">
        <v>9.3911044297108295E-2</v>
      </c>
      <c r="JG303" s="5">
        <v>-3.2979984722232902E-2</v>
      </c>
      <c r="JH303" s="5">
        <v>0.13683174739541001</v>
      </c>
      <c r="JI303" s="5">
        <v>-0.217965014017868</v>
      </c>
      <c r="JJ303" s="5">
        <v>0.27612427737304601</v>
      </c>
      <c r="JK303" s="5">
        <v>-8.6859201933711994E-2</v>
      </c>
      <c r="JL303" s="5">
        <v>4.5458569910315598E-2</v>
      </c>
      <c r="JM303" s="5">
        <v>0.15166432988106901</v>
      </c>
      <c r="JN303" s="5">
        <v>0.28328283162815099</v>
      </c>
      <c r="JO303" s="5">
        <v>-0.204885467030682</v>
      </c>
      <c r="JP303" s="5">
        <v>0.29547836414652001</v>
      </c>
      <c r="JQ303" s="5">
        <v>-0.165012731385907</v>
      </c>
      <c r="JR303" s="5">
        <v>0.20022291853197599</v>
      </c>
      <c r="JS303" s="5">
        <v>9.0786633412289896E-4</v>
      </c>
      <c r="JT303" s="5">
        <v>0.147788831481835</v>
      </c>
      <c r="JU303" s="5">
        <v>-4.9592224898096803E-2</v>
      </c>
      <c r="JV303" s="5">
        <v>0.31800409494315701</v>
      </c>
      <c r="JW303" s="5">
        <v>-0.243623963358164</v>
      </c>
      <c r="JX303" s="5">
        <v>-0.40806301596299199</v>
      </c>
      <c r="JY303" s="5">
        <v>0.49182892154281099</v>
      </c>
      <c r="JZ303" s="5">
        <v>0.270904342731624</v>
      </c>
      <c r="KA303" s="5">
        <v>-0.21726245892743701</v>
      </c>
      <c r="KB303" s="5">
        <v>-0.46359660195525099</v>
      </c>
      <c r="KC303" s="5">
        <v>0.523408657247038</v>
      </c>
      <c r="KD303" s="5">
        <v>0.20012924544077901</v>
      </c>
      <c r="KE303" s="5">
        <v>-9.3437941461505206E-2</v>
      </c>
      <c r="KF303" s="5">
        <v>0.29165711981827602</v>
      </c>
      <c r="KG303" s="5">
        <v>-0.288942630078799</v>
      </c>
      <c r="KH303" s="5">
        <v>0.15405107415542801</v>
      </c>
      <c r="KI303" s="5">
        <v>0.102365810660571</v>
      </c>
      <c r="KJ303" s="5">
        <v>0.38998756777224902</v>
      </c>
      <c r="KK303" s="5">
        <v>-0.20117831836466801</v>
      </c>
      <c r="KL303" s="5">
        <v>0.201601680050259</v>
      </c>
      <c r="KM303" s="5">
        <v>-0.20882138419971999</v>
      </c>
      <c r="KN303" s="5">
        <v>-0.30554990214584199</v>
      </c>
      <c r="KO303" s="5">
        <v>0.37743712590277501</v>
      </c>
      <c r="KP303" s="5">
        <v>-0.896173848672427</v>
      </c>
      <c r="KQ303" s="5">
        <v>1</v>
      </c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</row>
    <row r="304" spans="1:389" x14ac:dyDescent="0.45">
      <c r="A304" s="4" t="str">
        <f ca="1">"RWA / beta1dist in "&amp;CELL("address",'damages-1990'!$J$153)</f>
        <v>RWA / beta1dist in '[BHM betas v3pd.xlsx]damages-1990'!$J$153</v>
      </c>
      <c r="B304" s="6">
        <v>0.303330481484616</v>
      </c>
      <c r="C304" s="5">
        <v>0.114475327413702</v>
      </c>
      <c r="D304" s="5">
        <v>0.76328876405743895</v>
      </c>
      <c r="E304" s="5">
        <v>-0.50026840775938697</v>
      </c>
      <c r="F304" s="5">
        <v>0.29349093212187</v>
      </c>
      <c r="G304" s="5">
        <v>-2.0209784583310401E-2</v>
      </c>
      <c r="H304" s="5">
        <v>5.2787037300512499E-2</v>
      </c>
      <c r="I304" s="5">
        <v>-2.3725670287560102E-2</v>
      </c>
      <c r="J304" s="5">
        <v>0.459236101140719</v>
      </c>
      <c r="K304" s="5">
        <v>-0.16355298976829499</v>
      </c>
      <c r="L304" s="5">
        <v>0.39238486747611301</v>
      </c>
      <c r="M304" s="5">
        <v>-3.8424711887632499E-3</v>
      </c>
      <c r="N304" s="5">
        <v>0.19772187995666901</v>
      </c>
      <c r="O304" s="5">
        <v>-0.14936893727015499</v>
      </c>
      <c r="P304" s="5">
        <v>0.41063524176032301</v>
      </c>
      <c r="Q304" s="5">
        <v>-0.23839160419601699</v>
      </c>
      <c r="R304" s="5">
        <v>0.61104015297217096</v>
      </c>
      <c r="S304" s="5">
        <v>-0.38521249253752998</v>
      </c>
      <c r="T304" s="5">
        <v>0.16137019542269199</v>
      </c>
      <c r="U304" s="5">
        <v>-0.139277938582821</v>
      </c>
      <c r="V304" s="5">
        <v>0.29112245126651698</v>
      </c>
      <c r="W304" s="5">
        <v>0.13271659560104501</v>
      </c>
      <c r="X304" s="5">
        <v>0.85729053207929595</v>
      </c>
      <c r="Y304" s="5">
        <v>-0.58861335088583899</v>
      </c>
      <c r="Z304" s="5">
        <v>0.17204670904191599</v>
      </c>
      <c r="AA304" s="5">
        <v>-3.3600209302718197E-2</v>
      </c>
      <c r="AB304" s="5">
        <v>0.57456782139075302</v>
      </c>
      <c r="AC304" s="5">
        <v>-0.35251704898304798</v>
      </c>
      <c r="AD304" s="5">
        <v>0.482745908139386</v>
      </c>
      <c r="AE304" s="5">
        <v>-0.21601776894472799</v>
      </c>
      <c r="AF304" s="5">
        <v>0.207951855506496</v>
      </c>
      <c r="AG304" s="5">
        <v>4.7949698362951897E-2</v>
      </c>
      <c r="AH304" s="5">
        <v>0.293855407602996</v>
      </c>
      <c r="AI304" s="5">
        <v>-7.5999841875338106E-2</v>
      </c>
      <c r="AJ304" s="5">
        <v>0.41575397934504199</v>
      </c>
      <c r="AK304" s="5">
        <v>-0.114343846934889</v>
      </c>
      <c r="AL304" s="5">
        <v>0.34036145732515399</v>
      </c>
      <c r="AM304" s="5">
        <v>-0.18044811944682401</v>
      </c>
      <c r="AN304" s="5">
        <v>0.26686427797866302</v>
      </c>
      <c r="AO304" s="5">
        <v>-0.133837346067951</v>
      </c>
      <c r="AP304" s="5">
        <v>4.7441018569852701E-2</v>
      </c>
      <c r="AQ304" s="5">
        <v>-1.07572243846508E-2</v>
      </c>
      <c r="AR304" s="5">
        <v>0.39542496661195597</v>
      </c>
      <c r="AS304" s="5">
        <v>-0.18179530762566601</v>
      </c>
      <c r="AT304" s="5">
        <v>0.17406411550367001</v>
      </c>
      <c r="AU304" s="5">
        <v>5.6324256877553103E-2</v>
      </c>
      <c r="AV304" s="5">
        <v>0.53753850220571298</v>
      </c>
      <c r="AW304" s="5">
        <v>-0.289522121878733</v>
      </c>
      <c r="AX304" s="5">
        <v>0.63426859727768903</v>
      </c>
      <c r="AY304" s="5">
        <v>-0.46942839993610802</v>
      </c>
      <c r="AZ304" s="5">
        <v>0.395462096842156</v>
      </c>
      <c r="BA304" s="5">
        <v>-0.21473976257623201</v>
      </c>
      <c r="BB304" s="5">
        <v>0.53182059741190602</v>
      </c>
      <c r="BC304" s="5">
        <v>-0.231120018844581</v>
      </c>
      <c r="BD304" s="5">
        <v>0.19034335104594199</v>
      </c>
      <c r="BE304" s="5">
        <v>0.20995086400823801</v>
      </c>
      <c r="BF304" s="5">
        <v>0.51261510148892198</v>
      </c>
      <c r="BG304" s="5">
        <v>-0.27613020980233099</v>
      </c>
      <c r="BH304" s="5">
        <v>0.67694345095373598</v>
      </c>
      <c r="BI304" s="5">
        <v>-0.42787993647573602</v>
      </c>
      <c r="BJ304" s="5">
        <v>-0.19763134614251099</v>
      </c>
      <c r="BK304" s="5">
        <v>0.201047787483222</v>
      </c>
      <c r="BL304" s="5">
        <v>0.17779387394103499</v>
      </c>
      <c r="BM304" s="5">
        <v>-0.182343293770134</v>
      </c>
      <c r="BN304" s="5">
        <v>1.8483214286385101E-2</v>
      </c>
      <c r="BO304" s="5">
        <v>0.186339238688422</v>
      </c>
      <c r="BP304" s="5">
        <v>-3.4796456710190202E-2</v>
      </c>
      <c r="BQ304" s="5">
        <v>0.27895141233804699</v>
      </c>
      <c r="BR304" s="5">
        <v>0.60488706828603001</v>
      </c>
      <c r="BS304" s="5">
        <v>-0.36601725071008501</v>
      </c>
      <c r="BT304" s="5">
        <v>0.63184997988009795</v>
      </c>
      <c r="BU304" s="5">
        <v>-0.39607457420266001</v>
      </c>
      <c r="BV304" s="5">
        <v>0.76823712350383999</v>
      </c>
      <c r="BW304" s="5">
        <v>-0.52949412506361804</v>
      </c>
      <c r="BX304" s="5">
        <v>0.72002888647153596</v>
      </c>
      <c r="BY304" s="5">
        <v>-0.52598811115051503</v>
      </c>
      <c r="BZ304" s="5">
        <v>0.69882797498440197</v>
      </c>
      <c r="CA304" s="5">
        <v>-0.50733094575913995</v>
      </c>
      <c r="CB304" s="5">
        <v>0.55353244939227497</v>
      </c>
      <c r="CC304" s="5">
        <v>-0.39584816716154902</v>
      </c>
      <c r="CD304" s="5">
        <v>0.21661695424479699</v>
      </c>
      <c r="CE304" s="5">
        <v>-5.6670073025068303E-3</v>
      </c>
      <c r="CF304" s="5">
        <v>0.55806516209448198</v>
      </c>
      <c r="CG304" s="5">
        <v>-0.37280223423710801</v>
      </c>
      <c r="CH304" s="5">
        <v>0.32382569059699101</v>
      </c>
      <c r="CI304" s="5">
        <v>-0.17078084506711799</v>
      </c>
      <c r="CJ304" s="5">
        <v>0.17873770717811799</v>
      </c>
      <c r="CK304" s="5">
        <v>6.5447159162233801E-2</v>
      </c>
      <c r="CL304" s="5">
        <v>0.174391348075778</v>
      </c>
      <c r="CM304" s="5">
        <v>-0.10782481614987099</v>
      </c>
      <c r="CN304" s="5">
        <v>0.17706760165639901</v>
      </c>
      <c r="CO304" s="5">
        <v>-7.7055445065638994E-2</v>
      </c>
      <c r="CP304" s="5">
        <v>0.440356153685456</v>
      </c>
      <c r="CQ304" s="5">
        <v>-0.22188357047441601</v>
      </c>
      <c r="CR304" s="5">
        <v>0.449697749520862</v>
      </c>
      <c r="CS304" s="5">
        <v>-0.24495088446354901</v>
      </c>
      <c r="CT304" s="5">
        <v>0.139229677554537</v>
      </c>
      <c r="CU304" s="5">
        <v>-9.2852142828708295E-2</v>
      </c>
      <c r="CV304" s="5">
        <v>0.49764723124048199</v>
      </c>
      <c r="CW304" s="5">
        <v>-0.33265378889876102</v>
      </c>
      <c r="CX304" s="5">
        <v>0.34233212654454298</v>
      </c>
      <c r="CY304" s="5">
        <v>-3.5117275921406899E-2</v>
      </c>
      <c r="CZ304" s="5">
        <v>0.76398212086853001</v>
      </c>
      <c r="DA304" s="5">
        <v>-0.58597969258600302</v>
      </c>
      <c r="DB304" s="5">
        <v>0.410324561797346</v>
      </c>
      <c r="DC304" s="5">
        <v>-1.1779881396244699E-2</v>
      </c>
      <c r="DD304" s="5">
        <v>0.395230092721851</v>
      </c>
      <c r="DE304" s="5">
        <v>-0.14070794945551199</v>
      </c>
      <c r="DF304" s="5">
        <v>0.36707114063239898</v>
      </c>
      <c r="DG304" s="5">
        <v>-0.113571049101377</v>
      </c>
      <c r="DH304" s="5">
        <v>0.38334135816569898</v>
      </c>
      <c r="DI304" s="5">
        <v>-0.107865792052616</v>
      </c>
      <c r="DJ304" s="5">
        <v>-2.7052297933206099E-2</v>
      </c>
      <c r="DK304" s="5">
        <v>2.7416478009273399E-2</v>
      </c>
      <c r="DL304" s="5">
        <v>0.65159373919213204</v>
      </c>
      <c r="DM304" s="5">
        <v>-0.358091660305075</v>
      </c>
      <c r="DN304" s="5">
        <v>-0.124606152667658</v>
      </c>
      <c r="DO304" s="5">
        <v>8.7013373982578496E-2</v>
      </c>
      <c r="DP304" s="5">
        <v>0.147395576862699</v>
      </c>
      <c r="DQ304" s="5">
        <v>0.16494929081353399</v>
      </c>
      <c r="DR304" s="5">
        <v>0.24462532731352299</v>
      </c>
      <c r="DS304" s="5">
        <v>-2.6249920105739E-2</v>
      </c>
      <c r="DT304" s="5">
        <v>0.30211057003872999</v>
      </c>
      <c r="DU304" s="5">
        <v>-0.145035496359539</v>
      </c>
      <c r="DV304" s="5">
        <v>0.69268038698455203</v>
      </c>
      <c r="DW304" s="5">
        <v>-0.52403111901008204</v>
      </c>
      <c r="DX304" s="5">
        <v>1.18799228264122E-3</v>
      </c>
      <c r="DY304" s="5">
        <v>0.114253469962181</v>
      </c>
      <c r="DZ304" s="5">
        <v>0.225804201247191</v>
      </c>
      <c r="EA304" s="5">
        <v>-0.181433512750524</v>
      </c>
      <c r="EB304" s="5">
        <v>0.58875477280222599</v>
      </c>
      <c r="EC304" s="5">
        <v>-0.35314561977735998</v>
      </c>
      <c r="ED304" s="5">
        <v>0.65854471659957703</v>
      </c>
      <c r="EE304" s="5">
        <v>-0.38728127989479999</v>
      </c>
      <c r="EF304" s="5">
        <v>0.435614645102116</v>
      </c>
      <c r="EG304" s="5">
        <v>-0.24786631367395001</v>
      </c>
      <c r="EH304" s="5">
        <v>0.58905111962512002</v>
      </c>
      <c r="EI304" s="5">
        <v>-0.28917550522233698</v>
      </c>
      <c r="EJ304" s="5">
        <v>0.62078149209041</v>
      </c>
      <c r="EK304" s="5">
        <v>-0.33270678437652301</v>
      </c>
      <c r="EL304" s="5">
        <v>0.71117491580916903</v>
      </c>
      <c r="EM304" s="5">
        <v>-0.49319393426409902</v>
      </c>
      <c r="EN304" s="5">
        <v>0.21516850754519601</v>
      </c>
      <c r="EO304" s="5">
        <v>8.2367384257386295E-2</v>
      </c>
      <c r="EP304" s="5">
        <v>0.44872650801484698</v>
      </c>
      <c r="EQ304" s="5">
        <v>-0.28594666677448</v>
      </c>
      <c r="ER304" s="5">
        <v>0.46992741762418599</v>
      </c>
      <c r="ES304" s="5">
        <v>-0.250761810800602</v>
      </c>
      <c r="ET304" s="5">
        <v>0.541496289163232</v>
      </c>
      <c r="EU304" s="5">
        <v>-0.43137520620712499</v>
      </c>
      <c r="EV304" s="5">
        <v>0.505613010302709</v>
      </c>
      <c r="EW304" s="5">
        <v>-0.385554230238566</v>
      </c>
      <c r="EX304" s="5">
        <v>0.315425700914713</v>
      </c>
      <c r="EY304" s="5">
        <v>-0.16556410838674199</v>
      </c>
      <c r="EZ304" s="5">
        <v>0.40745822243719099</v>
      </c>
      <c r="FA304" s="5">
        <v>-0.186278050040317</v>
      </c>
      <c r="FB304" s="5">
        <v>0.29390294770643299</v>
      </c>
      <c r="FC304" s="5">
        <v>-6.1287743962910798E-2</v>
      </c>
      <c r="FD304" s="5">
        <v>0.49465739451205198</v>
      </c>
      <c r="FE304" s="5">
        <v>-0.32497815530006802</v>
      </c>
      <c r="FF304" s="5">
        <v>0.26881812641363201</v>
      </c>
      <c r="FG304" s="5">
        <v>-7.5658760762723098E-2</v>
      </c>
      <c r="FH304" s="5">
        <v>0.39673910125239698</v>
      </c>
      <c r="FI304" s="5">
        <v>-8.0441584272195901E-2</v>
      </c>
      <c r="FJ304" s="5">
        <v>0.459653240305612</v>
      </c>
      <c r="FK304" s="5">
        <v>-0.10851660956213099</v>
      </c>
      <c r="FL304" s="5">
        <v>-0.10114384317068401</v>
      </c>
      <c r="FM304" s="5">
        <v>0.25853045216404202</v>
      </c>
      <c r="FN304" s="5">
        <v>0.380692415717582</v>
      </c>
      <c r="FO304" s="5">
        <v>1.1428433870977099E-2</v>
      </c>
      <c r="FP304" s="5">
        <v>0.33955209230521899</v>
      </c>
      <c r="FQ304" s="5">
        <v>4.7211253045058799E-2</v>
      </c>
      <c r="FR304" s="5">
        <v>-0.236375913783511</v>
      </c>
      <c r="FS304" s="5">
        <v>0.29441751592898702</v>
      </c>
      <c r="FT304" s="5">
        <v>0.40889123189673399</v>
      </c>
      <c r="FU304" s="5">
        <v>-3.3437709729374897E-2</v>
      </c>
      <c r="FV304" s="5">
        <v>0.314616162223326</v>
      </c>
      <c r="FW304" s="5">
        <v>-3.2350196379547498E-3</v>
      </c>
      <c r="FX304" s="5">
        <v>0.53092412015871304</v>
      </c>
      <c r="FY304" s="5">
        <v>-0.34633666877840102</v>
      </c>
      <c r="FZ304" s="5">
        <v>0.48185551737259102</v>
      </c>
      <c r="GA304" s="5">
        <v>-8.2055192062253202E-2</v>
      </c>
      <c r="GB304" s="5">
        <v>0.27127265620678798</v>
      </c>
      <c r="GC304" s="5">
        <v>1.85310748415133E-3</v>
      </c>
      <c r="GD304" s="5">
        <v>1.4141340468613E-2</v>
      </c>
      <c r="GE304" s="5">
        <v>5.4401168940770898E-2</v>
      </c>
      <c r="GF304" s="5">
        <v>0.62572383318223601</v>
      </c>
      <c r="GG304" s="5">
        <v>-0.379993649439681</v>
      </c>
      <c r="GH304" s="5">
        <v>-0.27931222289750002</v>
      </c>
      <c r="GI304" s="5">
        <v>0.32173244012409002</v>
      </c>
      <c r="GJ304" s="5">
        <v>0.46799114004160203</v>
      </c>
      <c r="GK304" s="5">
        <v>-0.333741434458458</v>
      </c>
      <c r="GL304" s="5">
        <v>0.40251353096644199</v>
      </c>
      <c r="GM304" s="5">
        <v>-0.21890009133286201</v>
      </c>
      <c r="GN304" s="5">
        <v>0.28753383613832001</v>
      </c>
      <c r="GO304" s="5">
        <v>-5.9737956889904997E-3</v>
      </c>
      <c r="GP304" s="5">
        <v>0.374765469673007</v>
      </c>
      <c r="GQ304" s="5">
        <v>-3.0162474251533799E-2</v>
      </c>
      <c r="GR304" s="5">
        <v>0.50039102761022003</v>
      </c>
      <c r="GS304" s="5">
        <v>-0.325604854857102</v>
      </c>
      <c r="GT304" s="5">
        <v>0.33285068532965001</v>
      </c>
      <c r="GU304" s="5">
        <v>6.7017865616549099E-2</v>
      </c>
      <c r="GV304" s="5">
        <v>0.703700661178845</v>
      </c>
      <c r="GW304" s="5">
        <v>-0.53770343454667402</v>
      </c>
      <c r="GX304" s="5">
        <v>0.34807172587322599</v>
      </c>
      <c r="GY304" s="5">
        <v>-3.5992170486250002E-2</v>
      </c>
      <c r="GZ304" s="5">
        <v>0.177088246623192</v>
      </c>
      <c r="HA304" s="5">
        <v>-0.17968295335270401</v>
      </c>
      <c r="HB304" s="5">
        <v>0.65179280145790097</v>
      </c>
      <c r="HC304" s="5">
        <v>-0.48616112118738902</v>
      </c>
      <c r="HD304" s="5">
        <v>0.31083416169844702</v>
      </c>
      <c r="HE304" s="5">
        <v>7.8147357636277101E-2</v>
      </c>
      <c r="HF304" s="5">
        <v>2.69269517623703E-2</v>
      </c>
      <c r="HG304" s="5">
        <v>1.7673944340528601E-3</v>
      </c>
      <c r="HH304" s="5">
        <v>0.181573509359443</v>
      </c>
      <c r="HI304" s="5">
        <v>-6.6195565433680603E-2</v>
      </c>
      <c r="HJ304" s="5">
        <v>7.9039273115180404E-3</v>
      </c>
      <c r="HK304" s="5">
        <v>2.77261562437068E-4</v>
      </c>
      <c r="HL304" s="5">
        <v>0.41808045327170901</v>
      </c>
      <c r="HM304" s="5">
        <v>-0.12858323626758</v>
      </c>
      <c r="HN304" s="5">
        <v>0.227533003164227</v>
      </c>
      <c r="HO304" s="5">
        <v>-4.8184267983788998E-2</v>
      </c>
      <c r="HP304" s="5">
        <v>0.42845480867833402</v>
      </c>
      <c r="HQ304" s="5">
        <v>-0.15117531635443199</v>
      </c>
      <c r="HR304" s="5">
        <v>0.566594245240022</v>
      </c>
      <c r="HS304" s="5">
        <v>-0.37006865661440902</v>
      </c>
      <c r="HT304" s="5">
        <v>0.28314718527871102</v>
      </c>
      <c r="HU304" s="5">
        <v>-8.29544428767513E-2</v>
      </c>
      <c r="HV304" s="5">
        <v>0.36247541203646899</v>
      </c>
      <c r="HW304" s="5">
        <v>-8.1744594799198794E-2</v>
      </c>
      <c r="HX304" s="5">
        <v>0.555936186318155</v>
      </c>
      <c r="HY304" s="5">
        <v>-0.29532772232700399</v>
      </c>
      <c r="HZ304" s="5">
        <v>0.243266487669373</v>
      </c>
      <c r="IA304" s="5">
        <v>-0.14952507595922801</v>
      </c>
      <c r="IB304" s="5">
        <v>-0.15763361845785101</v>
      </c>
      <c r="IC304" s="5">
        <v>0.18405773396413599</v>
      </c>
      <c r="ID304" s="5">
        <v>0.59523895477335897</v>
      </c>
      <c r="IE304" s="5">
        <v>-0.35966648858144801</v>
      </c>
      <c r="IF304" s="5">
        <v>0.36686075002056701</v>
      </c>
      <c r="IG304" s="5">
        <v>-5.8676368968857501E-2</v>
      </c>
      <c r="IH304" s="5">
        <v>0.45158599071903299</v>
      </c>
      <c r="II304" s="5">
        <v>-0.25694312817755499</v>
      </c>
      <c r="IJ304" s="5">
        <v>0.35165167595021601</v>
      </c>
      <c r="IK304" s="5">
        <v>-0.22418933581441799</v>
      </c>
      <c r="IL304" s="5">
        <v>0.54556484924161397</v>
      </c>
      <c r="IM304" s="5">
        <v>-0.31513531874053802</v>
      </c>
      <c r="IN304" s="5">
        <v>0.50415789201878802</v>
      </c>
      <c r="IO304" s="5">
        <v>-0.20989249087952</v>
      </c>
      <c r="IP304" s="5">
        <v>0.67630650697329198</v>
      </c>
      <c r="IQ304" s="5">
        <v>-0.39240526788659702</v>
      </c>
      <c r="IR304" s="5">
        <v>0.117974888175327</v>
      </c>
      <c r="IS304" s="5">
        <v>0.10121783576879199</v>
      </c>
      <c r="IT304" s="5">
        <v>0.40814656783303099</v>
      </c>
      <c r="IU304" s="5">
        <v>-0.11855930126973099</v>
      </c>
      <c r="IV304" s="5">
        <v>0.53125756951523195</v>
      </c>
      <c r="IW304" s="5">
        <v>-0.29695699943624398</v>
      </c>
      <c r="IX304" s="5">
        <v>0.46918398665533301</v>
      </c>
      <c r="IY304" s="5">
        <v>-0.29570823026382598</v>
      </c>
      <c r="IZ304" s="5">
        <v>0.18254304393908199</v>
      </c>
      <c r="JA304" s="5">
        <v>-6.7907240622401804E-2</v>
      </c>
      <c r="JB304" s="5">
        <v>-3.4921187150670698E-2</v>
      </c>
      <c r="JC304" s="5">
        <v>-2.57327580939287E-2</v>
      </c>
      <c r="JD304" s="5">
        <v>0.28956970577286101</v>
      </c>
      <c r="JE304" s="5">
        <v>0.16168802028097901</v>
      </c>
      <c r="JF304" s="5">
        <v>0.48272734240319098</v>
      </c>
      <c r="JG304" s="5">
        <v>-0.36712358750040902</v>
      </c>
      <c r="JH304" s="5">
        <v>0.33107444260082902</v>
      </c>
      <c r="JI304" s="5">
        <v>-0.19949957428220799</v>
      </c>
      <c r="JJ304" s="5">
        <v>0.63015663922677201</v>
      </c>
      <c r="JK304" s="5">
        <v>-0.28614818977177697</v>
      </c>
      <c r="JL304" s="5">
        <v>0.39643661293605598</v>
      </c>
      <c r="JM304" s="5">
        <v>-6.9789674804032004E-2</v>
      </c>
      <c r="JN304" s="5">
        <v>0.71373897978724099</v>
      </c>
      <c r="JO304" s="5">
        <v>-0.52706755185135001</v>
      </c>
      <c r="JP304" s="5">
        <v>0.68116598045263899</v>
      </c>
      <c r="JQ304" s="5">
        <v>-0.40990178561750601</v>
      </c>
      <c r="JR304" s="5">
        <v>0.21178067101621201</v>
      </c>
      <c r="JS304" s="5">
        <v>0.17168688499126999</v>
      </c>
      <c r="JT304" s="5">
        <v>0.103354264320568</v>
      </c>
      <c r="JU304" s="5">
        <v>0.14275174707669999</v>
      </c>
      <c r="JV304" s="5">
        <v>0.45004726473921602</v>
      </c>
      <c r="JW304" s="5">
        <v>-0.17101980393987601</v>
      </c>
      <c r="JX304" s="5">
        <v>0.13636927296493201</v>
      </c>
      <c r="JY304" s="5">
        <v>-5.7736559913935399E-2</v>
      </c>
      <c r="JZ304" s="5">
        <v>0.44367569980970001</v>
      </c>
      <c r="KA304" s="5">
        <v>-0.25125682681536599</v>
      </c>
      <c r="KB304" s="5">
        <v>0.130680438129155</v>
      </c>
      <c r="KC304" s="5">
        <v>-8.83855238301888E-2</v>
      </c>
      <c r="KD304" s="5">
        <v>0.38305286026583601</v>
      </c>
      <c r="KE304" s="5">
        <v>-0.161358544230497</v>
      </c>
      <c r="KF304" s="5">
        <v>0.34008985900009098</v>
      </c>
      <c r="KG304" s="5">
        <v>-7.7023356536672805E-2</v>
      </c>
      <c r="KH304" s="5">
        <v>0.395257575220954</v>
      </c>
      <c r="KI304" s="5">
        <v>-1.8662523940146201E-2</v>
      </c>
      <c r="KJ304" s="5">
        <v>0.43023229604173202</v>
      </c>
      <c r="KK304" s="5">
        <v>-0.13716147006360799</v>
      </c>
      <c r="KL304" s="5">
        <v>0.35052946812854702</v>
      </c>
      <c r="KM304" s="5">
        <v>-0.15288212532015699</v>
      </c>
      <c r="KN304" s="5">
        <v>0.230942994790547</v>
      </c>
      <c r="KO304" s="5">
        <v>-8.9261298665333499E-2</v>
      </c>
      <c r="KP304" s="5">
        <v>-0.28104451174766798</v>
      </c>
      <c r="KQ304" s="5">
        <v>0.25534746429272698</v>
      </c>
      <c r="KR304" s="5">
        <v>1</v>
      </c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</row>
    <row r="305" spans="1:389" x14ac:dyDescent="0.45">
      <c r="A305" s="4" t="str">
        <f ca="1">"RWA / beta2dist in "&amp;CELL("address",'damages-1990'!$K$153)</f>
        <v>RWA / beta2dist in '[BHM betas v3pd.xlsx]damages-1990'!$K$153</v>
      </c>
      <c r="B305" s="6">
        <v>-6.4880124650466706E-2</v>
      </c>
      <c r="C305" s="5">
        <v>0.112983854080109</v>
      </c>
      <c r="D305" s="5">
        <v>-0.47896792998396498</v>
      </c>
      <c r="E305" s="5">
        <v>0.74392139186602801</v>
      </c>
      <c r="F305" s="5">
        <v>-7.6671384379584498E-2</v>
      </c>
      <c r="G305" s="5">
        <v>0.102561277562284</v>
      </c>
      <c r="H305" s="5">
        <v>-3.96701965697068E-2</v>
      </c>
      <c r="I305" s="5">
        <v>-3.29195702093006E-2</v>
      </c>
      <c r="J305" s="5">
        <v>-0.17084064236046401</v>
      </c>
      <c r="K305" s="5">
        <v>0.33141408879166701</v>
      </c>
      <c r="L305" s="5">
        <v>-3.5846017550106302E-2</v>
      </c>
      <c r="M305" s="5">
        <v>6.9282923899187998E-2</v>
      </c>
      <c r="N305" s="5">
        <v>-0.191115432139804</v>
      </c>
      <c r="O305" s="5">
        <v>0.20834906131190001</v>
      </c>
      <c r="P305" s="5">
        <v>-0.38581210063334997</v>
      </c>
      <c r="Q305" s="5">
        <v>0.48795624861683001</v>
      </c>
      <c r="R305" s="5">
        <v>-0.249838621716378</v>
      </c>
      <c r="S305" s="5">
        <v>0.512783473350921</v>
      </c>
      <c r="T305" s="5">
        <v>-0.21228901587694499</v>
      </c>
      <c r="U305" s="5">
        <v>0.231864517429266</v>
      </c>
      <c r="V305" s="5">
        <v>7.4528583849883898E-3</v>
      </c>
      <c r="W305" s="5">
        <v>-3.7483933243909598E-2</v>
      </c>
      <c r="X305" s="5">
        <v>-0.60451398532231404</v>
      </c>
      <c r="Y305" s="5">
        <v>0.83984501735116501</v>
      </c>
      <c r="Z305" s="5">
        <v>-7.2778200571877102E-2</v>
      </c>
      <c r="AA305" s="5">
        <v>7.7726013724500304E-2</v>
      </c>
      <c r="AB305" s="5">
        <v>-0.31039168984544202</v>
      </c>
      <c r="AC305" s="5">
        <v>0.521644426978356</v>
      </c>
      <c r="AD305" s="5">
        <v>-0.25434323721445901</v>
      </c>
      <c r="AE305" s="5">
        <v>0.43361140893719902</v>
      </c>
      <c r="AF305" s="5">
        <v>4.1204733731670197E-2</v>
      </c>
      <c r="AG305" s="5">
        <v>9.9168563774365101E-2</v>
      </c>
      <c r="AH305" s="5">
        <v>-0.124879759388972</v>
      </c>
      <c r="AI305" s="5">
        <v>0.160753446402711</v>
      </c>
      <c r="AJ305" s="5">
        <v>-0.19571134121780101</v>
      </c>
      <c r="AK305" s="5">
        <v>0.306312385623773</v>
      </c>
      <c r="AL305" s="5">
        <v>-1.6248538029216199E-2</v>
      </c>
      <c r="AM305" s="5">
        <v>8.8559686606013099E-2</v>
      </c>
      <c r="AN305" s="5">
        <v>-0.22880289561079101</v>
      </c>
      <c r="AO305" s="5">
        <v>0.27201241426995598</v>
      </c>
      <c r="AP305" s="5">
        <v>-0.12164540814753801</v>
      </c>
      <c r="AQ305" s="5">
        <v>0.149301646746103</v>
      </c>
      <c r="AR305" s="5">
        <v>-0.104353944067376</v>
      </c>
      <c r="AS305" s="5">
        <v>0.26177243312458598</v>
      </c>
      <c r="AT305" s="5">
        <v>0.13348611668646199</v>
      </c>
      <c r="AU305" s="5">
        <v>-0.15567108492485701</v>
      </c>
      <c r="AV305" s="5">
        <v>-0.13836408935626099</v>
      </c>
      <c r="AW305" s="5">
        <v>0.37726697459792302</v>
      </c>
      <c r="AX305" s="5">
        <v>-0.29807242540534301</v>
      </c>
      <c r="AY305" s="5">
        <v>0.62648592783206802</v>
      </c>
      <c r="AZ305" s="5">
        <v>-0.34464171408107103</v>
      </c>
      <c r="BA305" s="5">
        <v>0.43632468927561702</v>
      </c>
      <c r="BB305" s="5">
        <v>-0.17969580444302199</v>
      </c>
      <c r="BC305" s="5">
        <v>0.37783825359512802</v>
      </c>
      <c r="BD305" s="5">
        <v>-3.4097355308713703E-2</v>
      </c>
      <c r="BE305" s="5">
        <v>4.98111749669033E-2</v>
      </c>
      <c r="BF305" s="5">
        <v>-0.25759396760148001</v>
      </c>
      <c r="BG305" s="5">
        <v>0.41946567872797402</v>
      </c>
      <c r="BH305" s="5">
        <v>-0.38071972706637403</v>
      </c>
      <c r="BI305" s="5">
        <v>0.64958413684104399</v>
      </c>
      <c r="BJ305" s="5">
        <v>-2.7346825172588199E-2</v>
      </c>
      <c r="BK305" s="5">
        <v>-0.138677359957385</v>
      </c>
      <c r="BL305" s="5">
        <v>-0.238925357162246</v>
      </c>
      <c r="BM305" s="5">
        <v>0.24760606477496899</v>
      </c>
      <c r="BN305" s="5">
        <v>2.9545691603332098E-2</v>
      </c>
      <c r="BO305" s="5">
        <v>-0.136267457789055</v>
      </c>
      <c r="BP305" s="5">
        <v>5.1023259018630397E-2</v>
      </c>
      <c r="BQ305" s="5">
        <v>-0.22569844980329301</v>
      </c>
      <c r="BR305" s="5">
        <v>-0.42964108808104401</v>
      </c>
      <c r="BS305" s="5">
        <v>0.63791146008972999</v>
      </c>
      <c r="BT305" s="5">
        <v>-0.27594948139402597</v>
      </c>
      <c r="BU305" s="5">
        <v>0.57388845116435505</v>
      </c>
      <c r="BV305" s="5">
        <v>-0.48163194863291803</v>
      </c>
      <c r="BW305" s="5">
        <v>0.76883400589480699</v>
      </c>
      <c r="BX305" s="5">
        <v>-0.42364890567325503</v>
      </c>
      <c r="BY305" s="5">
        <v>0.71137800108670302</v>
      </c>
      <c r="BZ305" s="5">
        <v>-0.43517016364404798</v>
      </c>
      <c r="CA305" s="5">
        <v>0.71243518109333004</v>
      </c>
      <c r="CB305" s="5">
        <v>-0.30140821862473899</v>
      </c>
      <c r="CC305" s="5">
        <v>0.46966638104459801</v>
      </c>
      <c r="CD305" s="5">
        <v>-0.100154196028008</v>
      </c>
      <c r="CE305" s="5">
        <v>0.163701234228631</v>
      </c>
      <c r="CF305" s="5">
        <v>-0.43625508794983597</v>
      </c>
      <c r="CG305" s="5">
        <v>0.566851659370464</v>
      </c>
      <c r="CH305" s="5">
        <v>1.06244420642217E-2</v>
      </c>
      <c r="CI305" s="5">
        <v>5.8300707714711297E-2</v>
      </c>
      <c r="CJ305" s="5">
        <v>8.9914530731021194E-2</v>
      </c>
      <c r="CK305" s="5">
        <v>-7.5000633215551601E-2</v>
      </c>
      <c r="CL305" s="5">
        <v>-0.15600192595319101</v>
      </c>
      <c r="CM305" s="5">
        <v>0.17715526752699001</v>
      </c>
      <c r="CN305" s="5">
        <v>-0.117132963915836</v>
      </c>
      <c r="CO305" s="5">
        <v>0.12794070101928001</v>
      </c>
      <c r="CP305" s="5">
        <v>-0.42473268153598098</v>
      </c>
      <c r="CQ305" s="5">
        <v>0.53612157160193996</v>
      </c>
      <c r="CR305" s="5">
        <v>-0.398653566116078</v>
      </c>
      <c r="CS305" s="5">
        <v>0.49415426747022001</v>
      </c>
      <c r="CT305" s="5">
        <v>-0.129672998963071</v>
      </c>
      <c r="CU305" s="5">
        <v>0.14972479214911499</v>
      </c>
      <c r="CV305" s="5">
        <v>-0.34483600399729902</v>
      </c>
      <c r="CW305" s="5">
        <v>0.50309190300030004</v>
      </c>
      <c r="CX305" s="5">
        <v>-2.89065415428214E-2</v>
      </c>
      <c r="CY305" s="5">
        <v>0.17098839096811</v>
      </c>
      <c r="CZ305" s="5">
        <v>-0.51242602595515996</v>
      </c>
      <c r="DA305" s="5">
        <v>0.75432996949744902</v>
      </c>
      <c r="DB305" s="5">
        <v>-3.9281493493326297E-2</v>
      </c>
      <c r="DC305" s="5">
        <v>5.7892551654296298E-2</v>
      </c>
      <c r="DD305" s="5">
        <v>-0.27573643390151398</v>
      </c>
      <c r="DE305" s="5">
        <v>0.423140538118077</v>
      </c>
      <c r="DF305" s="5">
        <v>-0.18873773959992399</v>
      </c>
      <c r="DG305" s="5">
        <v>0.33500676749587699</v>
      </c>
      <c r="DH305" s="5">
        <v>-0.17161714069690101</v>
      </c>
      <c r="DI305" s="5">
        <v>0.30632668249414202</v>
      </c>
      <c r="DJ305" s="5">
        <v>-7.6450744975917195E-2</v>
      </c>
      <c r="DK305" s="5">
        <v>0.104528669730816</v>
      </c>
      <c r="DL305" s="5">
        <v>-0.45865686991239002</v>
      </c>
      <c r="DM305" s="5">
        <v>0.66750256008462405</v>
      </c>
      <c r="DN305" s="5">
        <v>-2.1457176302492598E-2</v>
      </c>
      <c r="DO305" s="5">
        <v>2.3593998658031301E-2</v>
      </c>
      <c r="DP305" s="5">
        <v>0.26515888714809299</v>
      </c>
      <c r="DQ305" s="5">
        <v>-0.26317082715637502</v>
      </c>
      <c r="DR305" s="5">
        <v>-8.29276770042017E-2</v>
      </c>
      <c r="DS305" s="5">
        <v>0.10416643895819799</v>
      </c>
      <c r="DT305" s="5">
        <v>-0.25491324757602202</v>
      </c>
      <c r="DU305" s="5">
        <v>0.32113332215477502</v>
      </c>
      <c r="DV305" s="5">
        <v>-0.44773677906605502</v>
      </c>
      <c r="DW305" s="5">
        <v>0.68158802538010399</v>
      </c>
      <c r="DX305" s="5">
        <v>4.1408926104705999E-2</v>
      </c>
      <c r="DY305" s="5">
        <v>-7.4376361862817195E-2</v>
      </c>
      <c r="DZ305" s="5">
        <v>-0.20291918372114001</v>
      </c>
      <c r="EA305" s="5">
        <v>0.26571078937143899</v>
      </c>
      <c r="EB305" s="5">
        <v>-0.37540502879266802</v>
      </c>
      <c r="EC305" s="5">
        <v>0.59200574623930002</v>
      </c>
      <c r="ED305" s="5">
        <v>-0.41778725014809698</v>
      </c>
      <c r="EE305" s="5">
        <v>0.63645417733517196</v>
      </c>
      <c r="EF305" s="5">
        <v>-0.41952679475136401</v>
      </c>
      <c r="EG305" s="5">
        <v>0.50550227811498605</v>
      </c>
      <c r="EH305" s="5">
        <v>-0.35362601948142602</v>
      </c>
      <c r="EI305" s="5">
        <v>0.53469891718266305</v>
      </c>
      <c r="EJ305" s="5">
        <v>-0.388093243345079</v>
      </c>
      <c r="EK305" s="5">
        <v>0.58737408336401398</v>
      </c>
      <c r="EL305" s="5">
        <v>-0.39827930237875198</v>
      </c>
      <c r="EM305" s="5">
        <v>0.64236368169277602</v>
      </c>
      <c r="EN305" s="5">
        <v>0.13583287999445801</v>
      </c>
      <c r="EO305" s="5">
        <v>-0.146921067159938</v>
      </c>
      <c r="EP305" s="5">
        <v>-0.37095644939752098</v>
      </c>
      <c r="EQ305" s="5">
        <v>0.48894072005886802</v>
      </c>
      <c r="ER305" s="5">
        <v>-0.16777475566533701</v>
      </c>
      <c r="ES305" s="5">
        <v>0.38433850527394098</v>
      </c>
      <c r="ET305" s="5">
        <v>-0.277056623848212</v>
      </c>
      <c r="EU305" s="5">
        <v>0.56352268309091802</v>
      </c>
      <c r="EV305" s="5">
        <v>-0.29126908257492501</v>
      </c>
      <c r="EW305" s="5">
        <v>0.56495946310053002</v>
      </c>
      <c r="EX305" s="5">
        <v>-1.7694918880859899E-2</v>
      </c>
      <c r="EY305" s="5">
        <v>0.21647916990501501</v>
      </c>
      <c r="EZ305" s="5">
        <v>-0.139171975474882</v>
      </c>
      <c r="FA305" s="5">
        <v>0.36056617609038</v>
      </c>
      <c r="FB305" s="5">
        <v>-0.13872794265909899</v>
      </c>
      <c r="FC305" s="5">
        <v>0.17347221332430299</v>
      </c>
      <c r="FD305" s="5">
        <v>-0.26865732332527897</v>
      </c>
      <c r="FE305" s="5">
        <v>0.44824112211935901</v>
      </c>
      <c r="FF305" s="5">
        <v>-0.135684570648581</v>
      </c>
      <c r="FG305" s="5">
        <v>0.16187129832236299</v>
      </c>
      <c r="FH305" s="5">
        <v>0.12133348404903301</v>
      </c>
      <c r="FI305" s="5">
        <v>-7.8660144555953396E-2</v>
      </c>
      <c r="FJ305" s="5">
        <v>-0.16557045319102201</v>
      </c>
      <c r="FK305" s="5">
        <v>0.30298563828992597</v>
      </c>
      <c r="FL305" s="5">
        <v>0.19670145246444401</v>
      </c>
      <c r="FM305" s="5">
        <v>-0.25542198566502</v>
      </c>
      <c r="FN305" s="5">
        <v>-8.3379875562950095E-2</v>
      </c>
      <c r="FO305" s="5">
        <v>0.145145005385756</v>
      </c>
      <c r="FP305" s="5">
        <v>-2.06633250214079E-2</v>
      </c>
      <c r="FQ305" s="5">
        <v>2.1989471068417501E-2</v>
      </c>
      <c r="FR305" s="5">
        <v>0.32835217435896702</v>
      </c>
      <c r="FS305" s="5">
        <v>-0.40750356412616101</v>
      </c>
      <c r="FT305" s="5">
        <v>-7.4998768933992599E-2</v>
      </c>
      <c r="FU305" s="5">
        <v>0.106639622847752</v>
      </c>
      <c r="FV305" s="5">
        <v>-6.1168602193993102E-2</v>
      </c>
      <c r="FW305" s="5">
        <v>8.9773100578304302E-2</v>
      </c>
      <c r="FX305" s="5">
        <v>-0.34335612347299299</v>
      </c>
      <c r="FY305" s="5">
        <v>0.49095636801794801</v>
      </c>
      <c r="FZ305" s="5">
        <v>-0.120393676158046</v>
      </c>
      <c r="GA305" s="5">
        <v>0.16448588159656899</v>
      </c>
      <c r="GB305" s="5">
        <v>-0.107692481834603</v>
      </c>
      <c r="GC305" s="5">
        <v>0.148736483782723</v>
      </c>
      <c r="GD305" s="5">
        <v>-5.3233037798496197E-2</v>
      </c>
      <c r="GE305" s="5">
        <v>4.2117376980080203E-2</v>
      </c>
      <c r="GF305" s="5">
        <v>-0.37807547779958101</v>
      </c>
      <c r="GG305" s="5">
        <v>0.64599864755779401</v>
      </c>
      <c r="GH305" s="5">
        <v>0.29693373465482298</v>
      </c>
      <c r="GI305" s="5">
        <v>-0.46530127133839699</v>
      </c>
      <c r="GJ305" s="5">
        <v>-0.142352292172853</v>
      </c>
      <c r="GK305" s="5">
        <v>0.37644385361631499</v>
      </c>
      <c r="GL305" s="5">
        <v>-0.38256085467652601</v>
      </c>
      <c r="GM305" s="5">
        <v>0.46031856347105299</v>
      </c>
      <c r="GN305" s="5">
        <v>-8.2961353722974099E-2</v>
      </c>
      <c r="GO305" s="5">
        <v>0.14274487044172501</v>
      </c>
      <c r="GP305" s="5">
        <v>-0.10639728748000001</v>
      </c>
      <c r="GQ305" s="5">
        <v>0.163591668198834</v>
      </c>
      <c r="GR305" s="5">
        <v>-0.16429778692126301</v>
      </c>
      <c r="GS305" s="5">
        <v>0.376941687189216</v>
      </c>
      <c r="GT305" s="5">
        <v>-3.0349746241620901E-2</v>
      </c>
      <c r="GU305" s="5">
        <v>1.09760253736207E-3</v>
      </c>
      <c r="GV305" s="5">
        <v>-0.44898213115535501</v>
      </c>
      <c r="GW305" s="5">
        <v>0.70952843788224695</v>
      </c>
      <c r="GX305" s="5">
        <v>2.8175142548817301E-2</v>
      </c>
      <c r="GY305" s="5">
        <v>2.76580803838678E-2</v>
      </c>
      <c r="GZ305" s="5">
        <v>-0.241214288387021</v>
      </c>
      <c r="HA305" s="5">
        <v>0.25009650894745999</v>
      </c>
      <c r="HB305" s="5">
        <v>-0.37048728331236902</v>
      </c>
      <c r="HC305" s="5">
        <v>0.65147217640299504</v>
      </c>
      <c r="HD305" s="5">
        <v>-0.13651320155479499</v>
      </c>
      <c r="HE305" s="5">
        <v>0.21349767289015301</v>
      </c>
      <c r="HF305" s="5">
        <v>-8.4982450982452801E-2</v>
      </c>
      <c r="HG305" s="5">
        <v>0.107418383139239</v>
      </c>
      <c r="HH305" s="5">
        <v>-0.102342055544803</v>
      </c>
      <c r="HI305" s="5">
        <v>0.108464455038205</v>
      </c>
      <c r="HJ305" s="5">
        <v>-8.8237329232685097E-2</v>
      </c>
      <c r="HK305" s="5">
        <v>0.116461835307572</v>
      </c>
      <c r="HL305" s="5">
        <v>-0.20843103828071199</v>
      </c>
      <c r="HM305" s="5">
        <v>0.38847390082605299</v>
      </c>
      <c r="HN305" s="5">
        <v>-0.108169896223344</v>
      </c>
      <c r="HO305" s="5">
        <v>0.13487694567341699</v>
      </c>
      <c r="HP305" s="5">
        <v>5.6550472626082302E-3</v>
      </c>
      <c r="HQ305" s="5">
        <v>0.21197620334875</v>
      </c>
      <c r="HR305" s="5">
        <v>-0.167900969925591</v>
      </c>
      <c r="HS305" s="5">
        <v>0.44377351691260603</v>
      </c>
      <c r="HT305" s="5">
        <v>-0.16343648283418399</v>
      </c>
      <c r="HU305" s="5">
        <v>0.21071286702867401</v>
      </c>
      <c r="HV305" s="5">
        <v>-5.6862603404937401E-2</v>
      </c>
      <c r="HW305" s="5">
        <v>0.22751636184238799</v>
      </c>
      <c r="HX305" s="5">
        <v>-0.191575201864184</v>
      </c>
      <c r="HY305" s="5">
        <v>0.42507259593131302</v>
      </c>
      <c r="HZ305" s="5">
        <v>-0.24587130812941399</v>
      </c>
      <c r="IA305" s="5">
        <v>0.28821855595352203</v>
      </c>
      <c r="IB305" s="5">
        <v>0.11808952510792201</v>
      </c>
      <c r="IC305" s="5">
        <v>-0.21068673580604</v>
      </c>
      <c r="ID305" s="5">
        <v>-0.21279670800685299</v>
      </c>
      <c r="IE305" s="5">
        <v>0.46989941074382702</v>
      </c>
      <c r="IF305" s="5">
        <v>-7.5567157502732102E-2</v>
      </c>
      <c r="IG305" s="5">
        <v>0.241346347001857</v>
      </c>
      <c r="IH305" s="5">
        <v>-0.399147520750044</v>
      </c>
      <c r="II305" s="5">
        <v>0.50006591534591405</v>
      </c>
      <c r="IJ305" s="5">
        <v>-0.13850597923783001</v>
      </c>
      <c r="IK305" s="5">
        <v>0.21167487670388099</v>
      </c>
      <c r="IL305" s="5">
        <v>-0.16390051569703701</v>
      </c>
      <c r="IM305" s="5">
        <v>0.415398021375458</v>
      </c>
      <c r="IN305" s="5">
        <v>-8.4397342286365695E-2</v>
      </c>
      <c r="IO305" s="5">
        <v>0.25352921552893898</v>
      </c>
      <c r="IP305" s="5">
        <v>-0.39237971134682798</v>
      </c>
      <c r="IQ305" s="5">
        <v>0.59834723923826905</v>
      </c>
      <c r="IR305" s="5">
        <v>0.146456494550635</v>
      </c>
      <c r="IS305" s="5">
        <v>-8.76519392215485E-2</v>
      </c>
      <c r="IT305" s="5">
        <v>-6.09872983809931E-2</v>
      </c>
      <c r="IU305" s="5">
        <v>0.21027666626595201</v>
      </c>
      <c r="IV305" s="5">
        <v>-0.28500567350561801</v>
      </c>
      <c r="IW305" s="5">
        <v>0.48515761840694999</v>
      </c>
      <c r="IX305" s="5">
        <v>-0.27052098433973099</v>
      </c>
      <c r="IY305" s="5">
        <v>0.50449072043061005</v>
      </c>
      <c r="IZ305" s="5">
        <v>-9.0089954987543103E-2</v>
      </c>
      <c r="JA305" s="5">
        <v>9.6849840320988603E-2</v>
      </c>
      <c r="JB305" s="5">
        <v>-0.12539111767045699</v>
      </c>
      <c r="JC305" s="5">
        <v>0.14309455248553701</v>
      </c>
      <c r="JD305" s="5">
        <v>-1.75825116877712E-2</v>
      </c>
      <c r="JE305" s="5">
        <v>6.7638782199375497E-2</v>
      </c>
      <c r="JF305" s="5">
        <v>-0.278497922075363</v>
      </c>
      <c r="JG305" s="5">
        <v>0.40022302757015599</v>
      </c>
      <c r="JH305" s="5">
        <v>-0.24947470076896899</v>
      </c>
      <c r="JI305" s="5">
        <v>0.31526052939905702</v>
      </c>
      <c r="JJ305" s="5">
        <v>-0.35279272251959898</v>
      </c>
      <c r="JK305" s="5">
        <v>0.54195177611983503</v>
      </c>
      <c r="JL305" s="5">
        <v>-0.15084335744199201</v>
      </c>
      <c r="JM305" s="5">
        <v>0.30035227937951198</v>
      </c>
      <c r="JN305" s="5">
        <v>-0.51856321689002305</v>
      </c>
      <c r="JO305" s="5">
        <v>0.68815419623617002</v>
      </c>
      <c r="JP305" s="5">
        <v>-0.33905327902505</v>
      </c>
      <c r="JQ305" s="5">
        <v>0.60257382773272805</v>
      </c>
      <c r="JR305" s="5">
        <v>0.22291909421499401</v>
      </c>
      <c r="JS305" s="5">
        <v>-0.16617898833807601</v>
      </c>
      <c r="JT305" s="5">
        <v>0.180424156582496</v>
      </c>
      <c r="JU305" s="5">
        <v>-0.14937073518153299</v>
      </c>
      <c r="JV305" s="5">
        <v>7.6802633228811997E-3</v>
      </c>
      <c r="JW305" s="5">
        <v>0.15671810494595501</v>
      </c>
      <c r="JX305" s="5">
        <v>-0.12153128568070801</v>
      </c>
      <c r="JY305" s="5">
        <v>0.133319244889466</v>
      </c>
      <c r="JZ305" s="5">
        <v>-0.42252424225581497</v>
      </c>
      <c r="KA305" s="5">
        <v>0.51080058463386901</v>
      </c>
      <c r="KB305" s="5">
        <v>-0.20726176250780201</v>
      </c>
      <c r="KC305" s="5">
        <v>0.212026049089686</v>
      </c>
      <c r="KD305" s="5">
        <v>-0.19398229955030399</v>
      </c>
      <c r="KE305" s="5">
        <v>0.334919391495407</v>
      </c>
      <c r="KF305" s="5">
        <v>3.6573819927506301E-2</v>
      </c>
      <c r="KG305" s="5">
        <v>1.54186194336119E-3</v>
      </c>
      <c r="KH305" s="5">
        <v>-7.1034089090378602E-2</v>
      </c>
      <c r="KI305" s="5">
        <v>9.4768274388205107E-2</v>
      </c>
      <c r="KJ305" s="5">
        <v>-0.18684649045610199</v>
      </c>
      <c r="KK305" s="5">
        <v>0.32101880793937398</v>
      </c>
      <c r="KL305" s="5">
        <v>4.1289835021101201E-3</v>
      </c>
      <c r="KM305" s="5">
        <v>7.2662931663308006E-2</v>
      </c>
      <c r="KN305" s="5">
        <v>-0.16057544501969401</v>
      </c>
      <c r="KO305" s="5">
        <v>0.19613169897284199</v>
      </c>
      <c r="KP305" s="5">
        <v>0.17270276306679999</v>
      </c>
      <c r="KQ305" s="5">
        <v>-0.23149779210229501</v>
      </c>
      <c r="KR305" s="5">
        <v>-0.750932107107665</v>
      </c>
      <c r="KS305" s="5">
        <v>1</v>
      </c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</row>
    <row r="306" spans="1:389" x14ac:dyDescent="0.45">
      <c r="A306" s="4" t="str">
        <f ca="1">"SAU / beta1dist in "&amp;CELL("address",'damages-1990'!$J$154)</f>
        <v>SAU / beta1dist in '[BHM betas v3pd.xlsx]damages-1990'!$J$154</v>
      </c>
      <c r="B306" s="6">
        <v>0.342785884258693</v>
      </c>
      <c r="C306" s="5">
        <v>1.2304495391184301E-2</v>
      </c>
      <c r="D306" s="5">
        <v>0.53765599333506697</v>
      </c>
      <c r="E306" s="5">
        <v>-0.21429953851167999</v>
      </c>
      <c r="F306" s="5">
        <v>0.174489268686423</v>
      </c>
      <c r="G306" s="5">
        <v>0.11564182336053</v>
      </c>
      <c r="H306" s="5">
        <v>-0.367876042909349</v>
      </c>
      <c r="I306" s="5">
        <v>0.40661606090834101</v>
      </c>
      <c r="J306" s="5">
        <v>0.77863810595129701</v>
      </c>
      <c r="K306" s="5">
        <v>-0.47845812067052501</v>
      </c>
      <c r="L306" s="5">
        <v>0.52382357431397897</v>
      </c>
      <c r="M306" s="5">
        <v>-0.22290992009816599</v>
      </c>
      <c r="N306" s="5">
        <v>-0.21860719920468599</v>
      </c>
      <c r="O306" s="5">
        <v>0.30202162550420197</v>
      </c>
      <c r="P306" s="5">
        <v>0.369267873262066</v>
      </c>
      <c r="Q306" s="5">
        <v>-0.193651883377814</v>
      </c>
      <c r="R306" s="5">
        <v>0.55676659031619802</v>
      </c>
      <c r="S306" s="5">
        <v>-0.23736032866248299</v>
      </c>
      <c r="T306" s="5">
        <v>-0.17220944545932301</v>
      </c>
      <c r="U306" s="5">
        <v>0.207868473178003</v>
      </c>
      <c r="V306" s="5">
        <v>0.23608865383543501</v>
      </c>
      <c r="W306" s="5">
        <v>0.21994973678361099</v>
      </c>
      <c r="X306" s="5">
        <v>0.54797228005148002</v>
      </c>
      <c r="Y306" s="5">
        <v>-0.23393793462509899</v>
      </c>
      <c r="Z306" s="5">
        <v>-9.5069195859450603E-2</v>
      </c>
      <c r="AA306" s="5">
        <v>0.25212290021347</v>
      </c>
      <c r="AB306" s="5">
        <v>0.51949859750132898</v>
      </c>
      <c r="AC306" s="5">
        <v>-0.34479067565448102</v>
      </c>
      <c r="AD306" s="5">
        <v>0.56142301297632402</v>
      </c>
      <c r="AE306" s="5">
        <v>-0.32954480302834499</v>
      </c>
      <c r="AF306" s="5">
        <v>0.48461686815009902</v>
      </c>
      <c r="AG306" s="5">
        <v>-0.233941008185055</v>
      </c>
      <c r="AH306" s="5">
        <v>7.3019123779542297E-2</v>
      </c>
      <c r="AI306" s="5">
        <v>0.183421176527375</v>
      </c>
      <c r="AJ306" s="5">
        <v>0.75433194794772396</v>
      </c>
      <c r="AK306" s="5">
        <v>-0.44340105670468799</v>
      </c>
      <c r="AL306" s="5">
        <v>0.29603484976820799</v>
      </c>
      <c r="AM306" s="5">
        <v>-9.1688383358334097E-2</v>
      </c>
      <c r="AN306" s="5">
        <v>-2.7065827348773899E-2</v>
      </c>
      <c r="AO306" s="5">
        <v>0.181466898104582</v>
      </c>
      <c r="AP306" s="5">
        <v>-0.143906652843662</v>
      </c>
      <c r="AQ306" s="5">
        <v>0.162974061460889</v>
      </c>
      <c r="AR306" s="5">
        <v>0.424102876202052</v>
      </c>
      <c r="AS306" s="5">
        <v>-0.13391954440676199</v>
      </c>
      <c r="AT306" s="5">
        <v>0.25011464706493203</v>
      </c>
      <c r="AU306" s="5">
        <v>-3.3272647148738801E-2</v>
      </c>
      <c r="AV306" s="5">
        <v>0.61138852076388495</v>
      </c>
      <c r="AW306" s="5">
        <v>-0.30204995525909201</v>
      </c>
      <c r="AX306" s="5">
        <v>0.64784195281865098</v>
      </c>
      <c r="AY306" s="5">
        <v>-0.34198122498566802</v>
      </c>
      <c r="AZ306" s="5">
        <v>0.44965001545244498</v>
      </c>
      <c r="BA306" s="5">
        <v>-0.29816880267190499</v>
      </c>
      <c r="BB306" s="5">
        <v>0.59391847300732403</v>
      </c>
      <c r="BC306" s="5">
        <v>-0.29507568237263598</v>
      </c>
      <c r="BD306" s="5">
        <v>0.114995833734404</v>
      </c>
      <c r="BE306" s="5">
        <v>0.24724448707625701</v>
      </c>
      <c r="BF306" s="5">
        <v>0.40387984607591898</v>
      </c>
      <c r="BG306" s="5">
        <v>-0.104033681871778</v>
      </c>
      <c r="BH306" s="5">
        <v>0.67357487048974996</v>
      </c>
      <c r="BI306" s="5">
        <v>-0.42508190099516102</v>
      </c>
      <c r="BJ306" s="5">
        <v>-0.379270511733658</v>
      </c>
      <c r="BK306" s="5">
        <v>0.32503094029423302</v>
      </c>
      <c r="BL306" s="5">
        <v>-0.212548425688774</v>
      </c>
      <c r="BM306" s="5">
        <v>0.24324119243242601</v>
      </c>
      <c r="BN306" s="5">
        <v>-0.137350054268705</v>
      </c>
      <c r="BO306" s="5">
        <v>0.30643451336097399</v>
      </c>
      <c r="BP306" s="5">
        <v>-0.225994401114961</v>
      </c>
      <c r="BQ306" s="5">
        <v>0.43874975596704002</v>
      </c>
      <c r="BR306" s="5">
        <v>0.53460079306619002</v>
      </c>
      <c r="BS306" s="5">
        <v>-0.34979165879292601</v>
      </c>
      <c r="BT306" s="5">
        <v>0.67178168116484904</v>
      </c>
      <c r="BU306" s="5">
        <v>-0.43554336921437897</v>
      </c>
      <c r="BV306" s="5">
        <v>0.64356915949795601</v>
      </c>
      <c r="BW306" s="5">
        <v>-0.36205056538163299</v>
      </c>
      <c r="BX306" s="5">
        <v>0.57332903060276896</v>
      </c>
      <c r="BY306" s="5">
        <v>-0.34365802032078602</v>
      </c>
      <c r="BZ306" s="5">
        <v>0.65896710204887898</v>
      </c>
      <c r="CA306" s="5">
        <v>-0.383561269364883</v>
      </c>
      <c r="CB306" s="5">
        <v>0.26303606210631197</v>
      </c>
      <c r="CC306" s="5">
        <v>-9.3863358820155895E-2</v>
      </c>
      <c r="CD306" s="5">
        <v>0.33751400992698199</v>
      </c>
      <c r="CE306" s="5">
        <v>-0.14570147605782</v>
      </c>
      <c r="CF306" s="5">
        <v>0.481747769026315</v>
      </c>
      <c r="CG306" s="5">
        <v>-0.25512373842011199</v>
      </c>
      <c r="CH306" s="5">
        <v>0.17857499828878901</v>
      </c>
      <c r="CI306" s="5">
        <v>1.6959801701162899E-2</v>
      </c>
      <c r="CJ306" s="5">
        <v>0.41374533652299</v>
      </c>
      <c r="CK306" s="5">
        <v>-0.14243945373057401</v>
      </c>
      <c r="CL306" s="5">
        <v>-0.12741909672128501</v>
      </c>
      <c r="CM306" s="5">
        <v>0.21005511396205701</v>
      </c>
      <c r="CN306" s="5">
        <v>-0.116458309475551</v>
      </c>
      <c r="CO306" s="5">
        <v>0.241377318271769</v>
      </c>
      <c r="CP306" s="5">
        <v>0.661598805963176</v>
      </c>
      <c r="CQ306" s="5">
        <v>-0.43063861131331299</v>
      </c>
      <c r="CR306" s="5">
        <v>0.37600469915245699</v>
      </c>
      <c r="CS306" s="5">
        <v>-0.188691474220686</v>
      </c>
      <c r="CT306" s="5">
        <v>-0.115488781415541</v>
      </c>
      <c r="CU306" s="5">
        <v>0.16060435658496799</v>
      </c>
      <c r="CV306" s="5">
        <v>0.37841839795927201</v>
      </c>
      <c r="CW306" s="5">
        <v>-0.16479721935299901</v>
      </c>
      <c r="CX306" s="5">
        <v>0.62521379132425403</v>
      </c>
      <c r="CY306" s="5">
        <v>-0.301632450307391</v>
      </c>
      <c r="CZ306" s="5">
        <v>0.55076436704318998</v>
      </c>
      <c r="DA306" s="5">
        <v>-0.26087399084516499</v>
      </c>
      <c r="DB306" s="5">
        <v>0.58483329107722704</v>
      </c>
      <c r="DC306" s="5">
        <v>-0.15924286262777301</v>
      </c>
      <c r="DD306" s="5">
        <v>0.64517438801114801</v>
      </c>
      <c r="DE306" s="5">
        <v>-0.37258650261257198</v>
      </c>
      <c r="DF306" s="5">
        <v>0.66086844108308096</v>
      </c>
      <c r="DG306" s="5">
        <v>-0.39776772105686398</v>
      </c>
      <c r="DH306" s="5">
        <v>0.35560433860686802</v>
      </c>
      <c r="DI306" s="5">
        <v>-5.8170364476694499E-2</v>
      </c>
      <c r="DJ306" s="5">
        <v>-0.16246880046064799</v>
      </c>
      <c r="DK306" s="5">
        <v>0.15564649315705001</v>
      </c>
      <c r="DL306" s="5">
        <v>0.62185279967143203</v>
      </c>
      <c r="DM306" s="5">
        <v>-0.347380025859371</v>
      </c>
      <c r="DN306" s="5">
        <v>-0.23540233938177599</v>
      </c>
      <c r="DO306" s="5">
        <v>0.17021563383128399</v>
      </c>
      <c r="DP306" s="5">
        <v>0.303233876499229</v>
      </c>
      <c r="DQ306" s="5">
        <v>-5.8894308972237297E-2</v>
      </c>
      <c r="DR306" s="5">
        <v>2.9795521535090599E-2</v>
      </c>
      <c r="DS306" s="5">
        <v>0.21463936686830201</v>
      </c>
      <c r="DT306" s="5">
        <v>0.42430799035272398</v>
      </c>
      <c r="DU306" s="5">
        <v>-0.28399482455814701</v>
      </c>
      <c r="DV306" s="5">
        <v>0.42728469148044101</v>
      </c>
      <c r="DW306" s="5">
        <v>-0.228009131526031</v>
      </c>
      <c r="DX306" s="5">
        <v>-0.16411745354021201</v>
      </c>
      <c r="DY306" s="5">
        <v>0.21122313307468499</v>
      </c>
      <c r="DZ306" s="5">
        <v>-0.179475876948757</v>
      </c>
      <c r="EA306" s="5">
        <v>0.281568593080815</v>
      </c>
      <c r="EB306" s="5">
        <v>0.61465282564372903</v>
      </c>
      <c r="EC306" s="5">
        <v>-0.38945234432284198</v>
      </c>
      <c r="ED306" s="5">
        <v>0.62911465397857602</v>
      </c>
      <c r="EE306" s="5">
        <v>-0.38082130577907802</v>
      </c>
      <c r="EF306" s="5">
        <v>0.36441733001438298</v>
      </c>
      <c r="EG306" s="5">
        <v>-0.185847731541363</v>
      </c>
      <c r="EH306" s="5">
        <v>0.67035294882439</v>
      </c>
      <c r="EI306" s="5">
        <v>-0.37229186012250298</v>
      </c>
      <c r="EJ306" s="5">
        <v>0.67193449463552102</v>
      </c>
      <c r="EK306" s="5">
        <v>-0.36499703253174798</v>
      </c>
      <c r="EL306" s="5">
        <v>0.68373386692252203</v>
      </c>
      <c r="EM306" s="5">
        <v>-0.485459288024084</v>
      </c>
      <c r="EN306" s="5">
        <v>0.360302896774643</v>
      </c>
      <c r="EO306" s="5">
        <v>-4.6848650682109999E-2</v>
      </c>
      <c r="EP306" s="5">
        <v>0.44402974658996602</v>
      </c>
      <c r="EQ306" s="5">
        <v>-0.26774349427802902</v>
      </c>
      <c r="ER306" s="5">
        <v>0.44311419516280798</v>
      </c>
      <c r="ES306" s="5">
        <v>-0.116402570120395</v>
      </c>
      <c r="ET306" s="5">
        <v>0.44600362324801701</v>
      </c>
      <c r="EU306" s="5">
        <v>-0.219621464564349</v>
      </c>
      <c r="EV306" s="5">
        <v>0.54018391957682799</v>
      </c>
      <c r="EW306" s="5">
        <v>-0.29981040121783098</v>
      </c>
      <c r="EX306" s="5">
        <v>0.35272128324984298</v>
      </c>
      <c r="EY306" s="5">
        <v>-0.139356784420055</v>
      </c>
      <c r="EZ306" s="5">
        <v>0.45795376015280598</v>
      </c>
      <c r="FA306" s="5">
        <v>-0.17268479219192401</v>
      </c>
      <c r="FB306" s="5">
        <v>0.113698041782123</v>
      </c>
      <c r="FC306" s="5">
        <v>0.12837970060488199</v>
      </c>
      <c r="FD306" s="5">
        <v>0.345062951030979</v>
      </c>
      <c r="FE306" s="5">
        <v>-0.13502411345825199</v>
      </c>
      <c r="FF306" s="5">
        <v>5.3005804876691501E-2</v>
      </c>
      <c r="FG306" s="5">
        <v>0.14816177888152299</v>
      </c>
      <c r="FH306" s="5">
        <v>0.55295605170065798</v>
      </c>
      <c r="FI306" s="5">
        <v>-0.37256006396770303</v>
      </c>
      <c r="FJ306" s="5">
        <v>0.52570538872453598</v>
      </c>
      <c r="FK306" s="5">
        <v>-0.154639015590328</v>
      </c>
      <c r="FL306" s="5">
        <v>-0.141459776697127</v>
      </c>
      <c r="FM306" s="5">
        <v>0.18649671556956299</v>
      </c>
      <c r="FN306" s="5">
        <v>0.59813200530155697</v>
      </c>
      <c r="FO306" s="5">
        <v>-0.24461920448565899</v>
      </c>
      <c r="FP306" s="5">
        <v>0.73241925509662598</v>
      </c>
      <c r="FQ306" s="5">
        <v>-0.38758188124475901</v>
      </c>
      <c r="FR306" s="5">
        <v>-0.31224895754257997</v>
      </c>
      <c r="FS306" s="5">
        <v>0.19797553099194001</v>
      </c>
      <c r="FT306" s="5">
        <v>0.63487987314109096</v>
      </c>
      <c r="FU306" s="5">
        <v>-0.247685873253634</v>
      </c>
      <c r="FV306" s="5">
        <v>0.255718267277107</v>
      </c>
      <c r="FW306" s="5">
        <v>1.58557434096156E-2</v>
      </c>
      <c r="FX306" s="5">
        <v>0.456419968244061</v>
      </c>
      <c r="FY306" s="5">
        <v>-0.241018305118921</v>
      </c>
      <c r="FZ306" s="5">
        <v>0.68143643193982595</v>
      </c>
      <c r="GA306" s="5">
        <v>-0.27809462790628497</v>
      </c>
      <c r="GB306" s="5">
        <v>6.3507904980621199E-2</v>
      </c>
      <c r="GC306" s="5">
        <v>0.252632512647608</v>
      </c>
      <c r="GD306" s="5">
        <v>-0.34886370570828501</v>
      </c>
      <c r="GE306" s="5">
        <v>0.393229680558913</v>
      </c>
      <c r="GF306" s="5">
        <v>0.45995341497924402</v>
      </c>
      <c r="GG306" s="5">
        <v>-0.21580089788728801</v>
      </c>
      <c r="GH306" s="5">
        <v>-0.48686046725564203</v>
      </c>
      <c r="GI306" s="5">
        <v>0.45244956305892903</v>
      </c>
      <c r="GJ306" s="5">
        <v>0.52050009362342897</v>
      </c>
      <c r="GK306" s="5">
        <v>-0.32920166061182599</v>
      </c>
      <c r="GL306" s="5">
        <v>0.42183079294586701</v>
      </c>
      <c r="GM306" s="5">
        <v>-0.24234361383276201</v>
      </c>
      <c r="GN306" s="5">
        <v>0.14345997529367499</v>
      </c>
      <c r="GO306" s="5">
        <v>0.16298319511536799</v>
      </c>
      <c r="GP306" s="5">
        <v>0.77298067937763904</v>
      </c>
      <c r="GQ306" s="5">
        <v>-0.43652226781213399</v>
      </c>
      <c r="GR306" s="5">
        <v>0.56976401108553099</v>
      </c>
      <c r="GS306" s="5">
        <v>-0.40689944527863797</v>
      </c>
      <c r="GT306" s="5">
        <v>0.51170705615444001</v>
      </c>
      <c r="GU306" s="5">
        <v>-0.15710636805471001</v>
      </c>
      <c r="GV306" s="5">
        <v>0.41137315720394302</v>
      </c>
      <c r="GW306" s="5">
        <v>-0.26731752936325698</v>
      </c>
      <c r="GX306" s="5">
        <v>0.53145434541792202</v>
      </c>
      <c r="GY306" s="5">
        <v>-0.19570954630200399</v>
      </c>
      <c r="GZ306" s="5">
        <v>-0.20970811770386699</v>
      </c>
      <c r="HA306" s="5">
        <v>0.24328129378524599</v>
      </c>
      <c r="HB306" s="5">
        <v>0.51853201178245401</v>
      </c>
      <c r="HC306" s="5">
        <v>-0.286329127468816</v>
      </c>
      <c r="HD306" s="5">
        <v>0.152994878819987</v>
      </c>
      <c r="HE306" s="5">
        <v>0.233482406048553</v>
      </c>
      <c r="HF306" s="5">
        <v>-0.137039444525312</v>
      </c>
      <c r="HG306" s="5">
        <v>0.155095875148242</v>
      </c>
      <c r="HH306" s="5">
        <v>-0.12132208171188801</v>
      </c>
      <c r="HI306" s="5">
        <v>0.26745645062770701</v>
      </c>
      <c r="HJ306" s="5">
        <v>-0.15859059311114901</v>
      </c>
      <c r="HK306" s="5">
        <v>0.16187083516317499</v>
      </c>
      <c r="HL306" s="5">
        <v>0.67448220542828596</v>
      </c>
      <c r="HM306" s="5">
        <v>-0.39390975621716001</v>
      </c>
      <c r="HN306" s="5">
        <v>1.2181581452050999E-3</v>
      </c>
      <c r="HO306" s="5">
        <v>0.197887207774537</v>
      </c>
      <c r="HP306" s="5">
        <v>0.438110891156691</v>
      </c>
      <c r="HQ306" s="5">
        <v>-0.13837222542404601</v>
      </c>
      <c r="HR306" s="5">
        <v>0.62048559824666005</v>
      </c>
      <c r="HS306" s="5">
        <v>-0.33329627679199703</v>
      </c>
      <c r="HT306" s="5">
        <v>4.7780118208584799E-2</v>
      </c>
      <c r="HU306" s="5">
        <v>0.179588973227291</v>
      </c>
      <c r="HV306" s="5">
        <v>0.56047592562029902</v>
      </c>
      <c r="HW306" s="5">
        <v>-0.29442841408088399</v>
      </c>
      <c r="HX306" s="5">
        <v>0.62618385981163205</v>
      </c>
      <c r="HY306" s="5">
        <v>-0.406452837862951</v>
      </c>
      <c r="HZ306" s="5">
        <v>-9.3048273946829199E-2</v>
      </c>
      <c r="IA306" s="5">
        <v>0.20777891240514601</v>
      </c>
      <c r="IB306" s="5">
        <v>-0.38752157877767202</v>
      </c>
      <c r="IC306" s="5">
        <v>0.35817718325629699</v>
      </c>
      <c r="ID306" s="5">
        <v>0.51383445045269804</v>
      </c>
      <c r="IE306" s="5">
        <v>-0.173689733218197</v>
      </c>
      <c r="IF306" s="5">
        <v>0.661244243218571</v>
      </c>
      <c r="IG306" s="5">
        <v>-0.39015980540899098</v>
      </c>
      <c r="IH306" s="5">
        <v>0.41457425284015897</v>
      </c>
      <c r="II306" s="5">
        <v>-0.23880096500338199</v>
      </c>
      <c r="IJ306" s="5">
        <v>0.23534761107942101</v>
      </c>
      <c r="IK306" s="5">
        <v>-0.121998802554779</v>
      </c>
      <c r="IL306" s="5">
        <v>0.66586555306519102</v>
      </c>
      <c r="IM306" s="5">
        <v>-0.37730151261112999</v>
      </c>
      <c r="IN306" s="5">
        <v>0.63964581731704095</v>
      </c>
      <c r="IO306" s="5">
        <v>-0.428224593633727</v>
      </c>
      <c r="IP306" s="5">
        <v>0.50681515105507802</v>
      </c>
      <c r="IQ306" s="5">
        <v>-0.13773585788255399</v>
      </c>
      <c r="IR306" s="5">
        <v>0.2013797429908</v>
      </c>
      <c r="IS306" s="5">
        <v>9.1418358904028094E-2</v>
      </c>
      <c r="IT306" s="5">
        <v>0.52949356342285603</v>
      </c>
      <c r="IU306" s="5">
        <v>-0.24605558411453199</v>
      </c>
      <c r="IV306" s="5">
        <v>0.43575338036766698</v>
      </c>
      <c r="IW306" s="5">
        <v>-0.244255116904807</v>
      </c>
      <c r="IX306" s="5">
        <v>0.48206224674157699</v>
      </c>
      <c r="IY306" s="5">
        <v>-0.25028146733022399</v>
      </c>
      <c r="IZ306" s="5">
        <v>-9.0283317671307095E-2</v>
      </c>
      <c r="JA306" s="5">
        <v>0.215162870258399</v>
      </c>
      <c r="JB306" s="5">
        <v>-0.185043954873822</v>
      </c>
      <c r="JC306" s="5">
        <v>9.4639995050828402E-2</v>
      </c>
      <c r="JD306" s="5">
        <v>0.30099380716579399</v>
      </c>
      <c r="JE306" s="5">
        <v>9.0920584471472707E-2</v>
      </c>
      <c r="JF306" s="5">
        <v>0.30874465935006301</v>
      </c>
      <c r="JG306" s="5">
        <v>-0.20904408758535001</v>
      </c>
      <c r="JH306" s="5">
        <v>0.195154008622685</v>
      </c>
      <c r="JI306" s="5">
        <v>-0.127230914324408</v>
      </c>
      <c r="JJ306" s="5">
        <v>0.75592174880090302</v>
      </c>
      <c r="JK306" s="5">
        <v>-0.42423797866505297</v>
      </c>
      <c r="JL306" s="5">
        <v>0.61531614331447404</v>
      </c>
      <c r="JM306" s="5">
        <v>-0.26304140024557698</v>
      </c>
      <c r="JN306" s="5">
        <v>0.497211305449833</v>
      </c>
      <c r="JO306" s="5">
        <v>-0.25659039120666599</v>
      </c>
      <c r="JP306" s="5">
        <v>0.65669844334364402</v>
      </c>
      <c r="JQ306" s="5">
        <v>-0.34128089299903902</v>
      </c>
      <c r="JR306" s="5">
        <v>0.38530756333418598</v>
      </c>
      <c r="JS306" s="5">
        <v>-0.102330097955618</v>
      </c>
      <c r="JT306" s="5">
        <v>0.24504875347317401</v>
      </c>
      <c r="JU306" s="5">
        <v>-7.9036882885650694E-2</v>
      </c>
      <c r="JV306" s="5">
        <v>0.57134429797902297</v>
      </c>
      <c r="JW306" s="5">
        <v>-0.33146158857029401</v>
      </c>
      <c r="JX306" s="5">
        <v>-0.104333902024889</v>
      </c>
      <c r="JY306" s="5">
        <v>0.18322180636653801</v>
      </c>
      <c r="JZ306" s="5">
        <v>0.42882843704793999</v>
      </c>
      <c r="KA306" s="5">
        <v>-0.216700348992968</v>
      </c>
      <c r="KB306" s="5">
        <v>-0.204407451035615</v>
      </c>
      <c r="KC306" s="5">
        <v>0.265509635338048</v>
      </c>
      <c r="KD306" s="5">
        <v>0.42485200605204998</v>
      </c>
      <c r="KE306" s="5">
        <v>-0.13560190777884401</v>
      </c>
      <c r="KF306" s="5">
        <v>0.54681973231536896</v>
      </c>
      <c r="KG306" s="5">
        <v>-0.31827510299277301</v>
      </c>
      <c r="KH306" s="5">
        <v>0.61197355716419799</v>
      </c>
      <c r="KI306" s="5">
        <v>-0.22027693036639601</v>
      </c>
      <c r="KJ306" s="5">
        <v>0.790721088601127</v>
      </c>
      <c r="KK306" s="5">
        <v>-0.47938048804814398</v>
      </c>
      <c r="KL306" s="5">
        <v>0.21212474301698001</v>
      </c>
      <c r="KM306" s="5">
        <v>-1.76344093826938E-2</v>
      </c>
      <c r="KN306" s="5">
        <v>-6.4956699855891503E-2</v>
      </c>
      <c r="KO306" s="5">
        <v>0.22799468498383299</v>
      </c>
      <c r="KP306" s="5">
        <v>-0.49210068032473397</v>
      </c>
      <c r="KQ306" s="5">
        <v>0.39565011587259402</v>
      </c>
      <c r="KR306" s="5">
        <v>0.539587807159563</v>
      </c>
      <c r="KS306" s="5">
        <v>-0.26595590825038801</v>
      </c>
      <c r="KT306" s="5">
        <v>1</v>
      </c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</row>
    <row r="307" spans="1:389" x14ac:dyDescent="0.45">
      <c r="A307" s="4" t="str">
        <f ca="1">"SAU / beta2dist in "&amp;CELL("address",'damages-1990'!$K$154)</f>
        <v>SAU / beta2dist in '[BHM betas v3pd.xlsx]damages-1990'!$K$154</v>
      </c>
      <c r="B307" s="6">
        <v>-0.21168640947804801</v>
      </c>
      <c r="C307" s="5">
        <v>0.33496536948017702</v>
      </c>
      <c r="D307" s="5">
        <v>-0.18441115676546199</v>
      </c>
      <c r="E307" s="5">
        <v>0.40108493608815798</v>
      </c>
      <c r="F307" s="5">
        <v>-7.0559963761532105E-2</v>
      </c>
      <c r="G307" s="5">
        <v>8.4390980396825202E-2</v>
      </c>
      <c r="H307" s="5">
        <v>0.23350886974405599</v>
      </c>
      <c r="I307" s="5">
        <v>-0.36179816182143798</v>
      </c>
      <c r="J307" s="5">
        <v>-0.48915105597562802</v>
      </c>
      <c r="K307" s="5">
        <v>0.71079202704911304</v>
      </c>
      <c r="L307" s="5">
        <v>-0.237027002042834</v>
      </c>
      <c r="M307" s="5">
        <v>0.37334728075372497</v>
      </c>
      <c r="N307" s="5">
        <v>0.224542176519194</v>
      </c>
      <c r="O307" s="5">
        <v>-0.34528321936444301</v>
      </c>
      <c r="P307" s="5">
        <v>-0.26753940717337199</v>
      </c>
      <c r="Q307" s="5">
        <v>0.392861561779211</v>
      </c>
      <c r="R307" s="5">
        <v>-0.20903645210184199</v>
      </c>
      <c r="S307" s="5">
        <v>0.41344826373828403</v>
      </c>
      <c r="T307" s="5">
        <v>5.68602541537312E-2</v>
      </c>
      <c r="U307" s="5">
        <v>-0.10573727076728601</v>
      </c>
      <c r="V307" s="5">
        <v>-2.4059763454670501E-2</v>
      </c>
      <c r="W307" s="5">
        <v>-3.76671288622175E-2</v>
      </c>
      <c r="X307" s="5">
        <v>-0.23518078661813499</v>
      </c>
      <c r="Y307" s="5">
        <v>0.43648475959190203</v>
      </c>
      <c r="Z307" s="5">
        <v>7.4594345868357295E-2</v>
      </c>
      <c r="AA307" s="5">
        <v>-0.119297148130085</v>
      </c>
      <c r="AB307" s="5">
        <v>-0.26490907814479198</v>
      </c>
      <c r="AC307" s="5">
        <v>0.53058252566425501</v>
      </c>
      <c r="AD307" s="5">
        <v>-0.371466961352242</v>
      </c>
      <c r="AE307" s="5">
        <v>0.58433887341509305</v>
      </c>
      <c r="AF307" s="5">
        <v>-0.16146908910976199</v>
      </c>
      <c r="AG307" s="5">
        <v>0.33910167070126401</v>
      </c>
      <c r="AH307" s="5">
        <v>-4.0718097627382502E-3</v>
      </c>
      <c r="AI307" s="5">
        <v>-1.5260922387105301E-2</v>
      </c>
      <c r="AJ307" s="5">
        <v>-0.530166102383685</v>
      </c>
      <c r="AK307" s="5">
        <v>0.71319403385559899</v>
      </c>
      <c r="AL307" s="5">
        <v>0.115929247607058</v>
      </c>
      <c r="AM307" s="5">
        <v>-6.8854781259727896E-2</v>
      </c>
      <c r="AN307" s="5">
        <v>-2.5672864577476898E-3</v>
      </c>
      <c r="AO307" s="5">
        <v>-2.4400867481594299E-2</v>
      </c>
      <c r="AP307" s="5">
        <v>-7.30868857882703E-2</v>
      </c>
      <c r="AQ307" s="5">
        <v>7.2049171638063306E-2</v>
      </c>
      <c r="AR307" s="5">
        <v>-1.2745944330958599E-2</v>
      </c>
      <c r="AS307" s="5">
        <v>0.10851711678682099</v>
      </c>
      <c r="AT307" s="5">
        <v>0.103612760131552</v>
      </c>
      <c r="AU307" s="5">
        <v>-8.5188056030741893E-2</v>
      </c>
      <c r="AV307" s="5">
        <v>-0.18737336704879601</v>
      </c>
      <c r="AW307" s="5">
        <v>0.40681610869292301</v>
      </c>
      <c r="AX307" s="5">
        <v>-0.237213947326994</v>
      </c>
      <c r="AY307" s="5">
        <v>0.44985750103737099</v>
      </c>
      <c r="AZ307" s="5">
        <v>-0.320895500146402</v>
      </c>
      <c r="BA307" s="5">
        <v>0.46915301503693502</v>
      </c>
      <c r="BB307" s="5">
        <v>-0.241725354139671</v>
      </c>
      <c r="BC307" s="5">
        <v>0.474400043825424</v>
      </c>
      <c r="BD307" s="5">
        <v>-8.6330747042817693E-2</v>
      </c>
      <c r="BE307" s="5">
        <v>0.13997519817325299</v>
      </c>
      <c r="BF307" s="5">
        <v>-7.7253407105752306E-2</v>
      </c>
      <c r="BG307" s="5">
        <v>0.20138421423233899</v>
      </c>
      <c r="BH307" s="5">
        <v>-0.33216852604616598</v>
      </c>
      <c r="BI307" s="5">
        <v>0.61827210934724597</v>
      </c>
      <c r="BJ307" s="5">
        <v>9.7391350796207393E-2</v>
      </c>
      <c r="BK307" s="5">
        <v>-0.30989139693443402</v>
      </c>
      <c r="BL307" s="5">
        <v>7.3240520510817003E-2</v>
      </c>
      <c r="BM307" s="5">
        <v>-0.160214557384253</v>
      </c>
      <c r="BN307" s="5">
        <v>8.5944197424587906E-2</v>
      </c>
      <c r="BO307" s="5">
        <v>-0.21016766306522</v>
      </c>
      <c r="BP307" s="5">
        <v>7.9064551391590798E-2</v>
      </c>
      <c r="BQ307" s="5">
        <v>-0.24603986030120301</v>
      </c>
      <c r="BR307" s="5">
        <v>-0.37687232382868202</v>
      </c>
      <c r="BS307" s="5">
        <v>0.62804047761133697</v>
      </c>
      <c r="BT307" s="5">
        <v>-0.30037702314167403</v>
      </c>
      <c r="BU307" s="5">
        <v>0.62168374046818298</v>
      </c>
      <c r="BV307" s="5">
        <v>-0.32546453616094501</v>
      </c>
      <c r="BW307" s="5">
        <v>0.58586254063258203</v>
      </c>
      <c r="BX307" s="5">
        <v>-0.28031032786492999</v>
      </c>
      <c r="BY307" s="5">
        <v>0.54106496042332197</v>
      </c>
      <c r="BZ307" s="5">
        <v>-0.35890953467774001</v>
      </c>
      <c r="CA307" s="5">
        <v>0.56453329970143995</v>
      </c>
      <c r="CB307" s="5">
        <v>4.0811159461480999E-2</v>
      </c>
      <c r="CC307" s="5">
        <v>0.15180233916702801</v>
      </c>
      <c r="CD307" s="5">
        <v>-0.18111748920308601</v>
      </c>
      <c r="CE307" s="5">
        <v>0.28351169539004001</v>
      </c>
      <c r="CF307" s="5">
        <v>-0.229760223887784</v>
      </c>
      <c r="CG307" s="5">
        <v>0.34020042744033901</v>
      </c>
      <c r="CH307" s="5">
        <v>0.26191600077492899</v>
      </c>
      <c r="CI307" s="5">
        <v>-0.231081100031719</v>
      </c>
      <c r="CJ307" s="5">
        <v>-0.20461053982712801</v>
      </c>
      <c r="CK307" s="5">
        <v>0.25864757929223398</v>
      </c>
      <c r="CL307" s="5">
        <v>6.0179452955987298E-2</v>
      </c>
      <c r="CM307" s="5">
        <v>-0.10445991032844899</v>
      </c>
      <c r="CN307" s="5">
        <v>6.3575612244427204E-2</v>
      </c>
      <c r="CO307" s="5">
        <v>-0.118958756903804</v>
      </c>
      <c r="CP307" s="5">
        <v>-0.62095149333865196</v>
      </c>
      <c r="CQ307" s="5">
        <v>0.73275319015485796</v>
      </c>
      <c r="CR307" s="5">
        <v>-0.24494736811757101</v>
      </c>
      <c r="CS307" s="5">
        <v>0.37792076333164898</v>
      </c>
      <c r="CT307" s="5">
        <v>2.08625289242012E-2</v>
      </c>
      <c r="CU307" s="5">
        <v>-4.0911888090068203E-2</v>
      </c>
      <c r="CV307" s="5">
        <v>-0.219035148710642</v>
      </c>
      <c r="CW307" s="5">
        <v>0.34332143838592299</v>
      </c>
      <c r="CX307" s="5">
        <v>-0.35077720943332702</v>
      </c>
      <c r="CY307" s="5">
        <v>0.52775506639859904</v>
      </c>
      <c r="CZ307" s="5">
        <v>-0.24124315647703101</v>
      </c>
      <c r="DA307" s="5">
        <v>0.378714236432803</v>
      </c>
      <c r="DB307" s="5">
        <v>-0.24720020628953901</v>
      </c>
      <c r="DC307" s="5">
        <v>0.33405495609795199</v>
      </c>
      <c r="DD307" s="5">
        <v>-0.55173679315727697</v>
      </c>
      <c r="DE307" s="5">
        <v>0.69872885457346701</v>
      </c>
      <c r="DF307" s="5">
        <v>-0.408519543924308</v>
      </c>
      <c r="DG307" s="5">
        <v>0.57310983269571003</v>
      </c>
      <c r="DH307" s="5">
        <v>-0.19982882892582399</v>
      </c>
      <c r="DI307" s="5">
        <v>0.320575644916269</v>
      </c>
      <c r="DJ307" s="5">
        <v>-7.5899509488503894E-2</v>
      </c>
      <c r="DK307" s="5">
        <v>6.7115292117115505E-2</v>
      </c>
      <c r="DL307" s="5">
        <v>-0.36643885100405299</v>
      </c>
      <c r="DM307" s="5">
        <v>0.61389412369954899</v>
      </c>
      <c r="DN307" s="5">
        <v>-5.4686589710742098E-2</v>
      </c>
      <c r="DO307" s="5">
        <v>3.6120009354032798E-2</v>
      </c>
      <c r="DP307" s="5">
        <v>6.6774689108172303E-2</v>
      </c>
      <c r="DQ307" s="5">
        <v>2.5370274048230699E-2</v>
      </c>
      <c r="DR307" s="5">
        <v>1.2229260100721E-2</v>
      </c>
      <c r="DS307" s="5">
        <v>-3.0642753620855299E-2</v>
      </c>
      <c r="DT307" s="5">
        <v>-0.34136168646612403</v>
      </c>
      <c r="DU307" s="5">
        <v>0.44417092883499298</v>
      </c>
      <c r="DV307" s="5">
        <v>-0.22607973516256599</v>
      </c>
      <c r="DW307" s="5">
        <v>0.43837030509523001</v>
      </c>
      <c r="DX307" s="5">
        <v>2.35518187722062E-2</v>
      </c>
      <c r="DY307" s="5">
        <v>-1.3651242446199601E-2</v>
      </c>
      <c r="DZ307" s="5">
        <v>0.17680527193380399</v>
      </c>
      <c r="EA307" s="5">
        <v>-0.27061072965954303</v>
      </c>
      <c r="EB307" s="5">
        <v>-0.39832952205938699</v>
      </c>
      <c r="EC307" s="5">
        <v>0.63296237920475296</v>
      </c>
      <c r="ED307" s="5">
        <v>-0.389266014474836</v>
      </c>
      <c r="EE307" s="5">
        <v>0.63028036292758405</v>
      </c>
      <c r="EF307" s="5">
        <v>-0.267748574566961</v>
      </c>
      <c r="EG307" s="5">
        <v>0.385516790303018</v>
      </c>
      <c r="EH307" s="5">
        <v>-0.386180007385719</v>
      </c>
      <c r="EI307" s="5">
        <v>0.59404429868707298</v>
      </c>
      <c r="EJ307" s="5">
        <v>-0.41358555189848001</v>
      </c>
      <c r="EK307" s="5">
        <v>0.61034790780266202</v>
      </c>
      <c r="EL307" s="5">
        <v>-0.32370652993769899</v>
      </c>
      <c r="EM307" s="5">
        <v>0.60126823992092104</v>
      </c>
      <c r="EN307" s="5">
        <v>-0.13667480869889401</v>
      </c>
      <c r="EO307" s="5">
        <v>0.14476897051783599</v>
      </c>
      <c r="EP307" s="5">
        <v>-0.31119105910843398</v>
      </c>
      <c r="EQ307" s="5">
        <v>0.44412057299466201</v>
      </c>
      <c r="ER307" s="5">
        <v>-4.09617051227531E-2</v>
      </c>
      <c r="ES307" s="5">
        <v>0.157065608786086</v>
      </c>
      <c r="ET307" s="5">
        <v>-3.1122531192654401E-2</v>
      </c>
      <c r="EU307" s="5">
        <v>0.223749389624045</v>
      </c>
      <c r="EV307" s="5">
        <v>-0.20551119489164699</v>
      </c>
      <c r="EW307" s="5">
        <v>0.40641439932786799</v>
      </c>
      <c r="EX307" s="5">
        <v>7.0249629980870504E-2</v>
      </c>
      <c r="EY307" s="5">
        <v>9.2356178952761797E-2</v>
      </c>
      <c r="EZ307" s="5">
        <v>-9.4611726168564905E-2</v>
      </c>
      <c r="FA307" s="5">
        <v>0.27713002246853702</v>
      </c>
      <c r="FB307" s="5">
        <v>-3.9358285702138403E-2</v>
      </c>
      <c r="FC307" s="5">
        <v>4.2068715017924897E-2</v>
      </c>
      <c r="FD307" s="5">
        <v>-8.2571647795146794E-2</v>
      </c>
      <c r="FE307" s="5">
        <v>0.23494646234597799</v>
      </c>
      <c r="FF307" s="5">
        <v>-1.26980297428125E-2</v>
      </c>
      <c r="FG307" s="5">
        <v>5.1282547384228598E-3</v>
      </c>
      <c r="FH307" s="5">
        <v>-3.2210482787400602E-2</v>
      </c>
      <c r="FI307" s="5">
        <v>0.255890642924196</v>
      </c>
      <c r="FJ307" s="5">
        <v>-0.21361116233430599</v>
      </c>
      <c r="FK307" s="5">
        <v>0.37277247800283098</v>
      </c>
      <c r="FL307" s="5">
        <v>4.6944589254377E-2</v>
      </c>
      <c r="FM307" s="5">
        <v>-2.6191631120056999E-2</v>
      </c>
      <c r="FN307" s="5">
        <v>-0.37233912674266101</v>
      </c>
      <c r="FO307" s="5">
        <v>0.51421741354872597</v>
      </c>
      <c r="FP307" s="5">
        <v>-0.45599037199248899</v>
      </c>
      <c r="FQ307" s="5">
        <v>0.58151441628091305</v>
      </c>
      <c r="FR307" s="5">
        <v>0.31605885259988797</v>
      </c>
      <c r="FS307" s="5">
        <v>-0.26929858346812202</v>
      </c>
      <c r="FT307" s="5">
        <v>-0.34622040309275798</v>
      </c>
      <c r="FU307" s="5">
        <v>0.45429479707668302</v>
      </c>
      <c r="FV307" s="5">
        <v>-9.5001520842832796E-2</v>
      </c>
      <c r="FW307" s="5">
        <v>0.173057731212476</v>
      </c>
      <c r="FX307" s="5">
        <v>-0.15549912641310201</v>
      </c>
      <c r="FY307" s="5">
        <v>0.28702589588319599</v>
      </c>
      <c r="FZ307" s="5">
        <v>-0.36920129351231001</v>
      </c>
      <c r="GA307" s="5">
        <v>0.49535701399816001</v>
      </c>
      <c r="GB307" s="5">
        <v>-1.7170307222487999E-2</v>
      </c>
      <c r="GC307" s="5">
        <v>6.0876407558972901E-3</v>
      </c>
      <c r="GD307" s="5">
        <v>0.21637201560347</v>
      </c>
      <c r="GE307" s="5">
        <v>-0.25377980677002798</v>
      </c>
      <c r="GF307" s="5">
        <v>-0.10102290396850799</v>
      </c>
      <c r="GG307" s="5">
        <v>0.39111681420494498</v>
      </c>
      <c r="GH307" s="5">
        <v>0.42141281380383</v>
      </c>
      <c r="GI307" s="5">
        <v>-0.58559278809804505</v>
      </c>
      <c r="GJ307" s="5">
        <v>-9.4500101147153098E-2</v>
      </c>
      <c r="GK307" s="5">
        <v>0.30622875806170002</v>
      </c>
      <c r="GL307" s="5">
        <v>-0.35913614308111902</v>
      </c>
      <c r="GM307" s="5">
        <v>0.47033878493563303</v>
      </c>
      <c r="GN307" s="5">
        <v>-6.8565539617870597E-2</v>
      </c>
      <c r="GO307" s="5">
        <v>0.12029769300849399</v>
      </c>
      <c r="GP307" s="5">
        <v>-0.50753708302001699</v>
      </c>
      <c r="GQ307" s="5">
        <v>0.65943845875254703</v>
      </c>
      <c r="GR307" s="5">
        <v>-0.188049437517082</v>
      </c>
      <c r="GS307" s="5">
        <v>0.44529902425047202</v>
      </c>
      <c r="GT307" s="5">
        <v>-0.282452728306055</v>
      </c>
      <c r="GU307" s="5">
        <v>0.33748962409850197</v>
      </c>
      <c r="GV307" s="5">
        <v>-0.16721383915200699</v>
      </c>
      <c r="GW307" s="5">
        <v>0.43542929381018902</v>
      </c>
      <c r="GX307" s="5">
        <v>-0.21472479308818601</v>
      </c>
      <c r="GY307" s="5">
        <v>0.31455984482836402</v>
      </c>
      <c r="GZ307" s="5">
        <v>7.3665150536739901E-2</v>
      </c>
      <c r="HA307" s="5">
        <v>-0.159804083029745</v>
      </c>
      <c r="HB307" s="5">
        <v>-0.13048185100427101</v>
      </c>
      <c r="HC307" s="5">
        <v>0.352356915102504</v>
      </c>
      <c r="HD307" s="5">
        <v>-4.6061872298104302E-2</v>
      </c>
      <c r="HE307" s="5">
        <v>7.6586452463369301E-2</v>
      </c>
      <c r="HF307" s="5">
        <v>-6.4515670839849507E-2</v>
      </c>
      <c r="HG307" s="5">
        <v>5.5598675712939701E-2</v>
      </c>
      <c r="HH307" s="5">
        <v>7.9106287408115497E-2</v>
      </c>
      <c r="HI307" s="5">
        <v>-0.13919652351377501</v>
      </c>
      <c r="HJ307" s="5">
        <v>-5.71259282795138E-2</v>
      </c>
      <c r="HK307" s="5">
        <v>4.5992213334608102E-2</v>
      </c>
      <c r="HL307" s="5">
        <v>-0.44080725642493601</v>
      </c>
      <c r="HM307" s="5">
        <v>0.64669918641826996</v>
      </c>
      <c r="HN307" s="5">
        <v>1.17532885987901E-2</v>
      </c>
      <c r="HO307" s="5">
        <v>-3.4807342185206903E-2</v>
      </c>
      <c r="HP307" s="5">
        <v>-2.1854207776314999E-2</v>
      </c>
      <c r="HQ307" s="5">
        <v>0.260617359205424</v>
      </c>
      <c r="HR307" s="5">
        <v>-0.164408121356065</v>
      </c>
      <c r="HS307" s="5">
        <v>0.35939392454423102</v>
      </c>
      <c r="HT307" s="5">
        <v>-2.8614977193984498E-2</v>
      </c>
      <c r="HU307" s="5">
        <v>2.4725163190774599E-2</v>
      </c>
      <c r="HV307" s="5">
        <v>-0.32048273548775702</v>
      </c>
      <c r="HW307" s="5">
        <v>0.53310038182428598</v>
      </c>
      <c r="HX307" s="5">
        <v>-0.26998259556593501</v>
      </c>
      <c r="HY307" s="5">
        <v>0.57701377327914405</v>
      </c>
      <c r="HZ307" s="5">
        <v>2.3964666581031399E-2</v>
      </c>
      <c r="IA307" s="5">
        <v>-6.0810247862672702E-2</v>
      </c>
      <c r="IB307" s="5">
        <v>0.219820207152365</v>
      </c>
      <c r="IC307" s="5">
        <v>-0.29883139994204</v>
      </c>
      <c r="ID307" s="5">
        <v>-9.4736142790277894E-2</v>
      </c>
      <c r="IE307" s="5">
        <v>0.29609221983925499</v>
      </c>
      <c r="IF307" s="5">
        <v>-0.38981009060771099</v>
      </c>
      <c r="IG307" s="5">
        <v>0.63101224116365495</v>
      </c>
      <c r="IH307" s="5">
        <v>-0.27562134830592799</v>
      </c>
      <c r="II307" s="5">
        <v>0.41991248618017502</v>
      </c>
      <c r="IJ307" s="5">
        <v>3.0958478913426998E-2</v>
      </c>
      <c r="IK307" s="5">
        <v>7.42028911040718E-2</v>
      </c>
      <c r="IL307" s="5">
        <v>-0.29867375615248898</v>
      </c>
      <c r="IM307" s="5">
        <v>0.55270430903696399</v>
      </c>
      <c r="IN307" s="5">
        <v>-0.18496586689332201</v>
      </c>
      <c r="IO307" s="5">
        <v>0.46660096771362197</v>
      </c>
      <c r="IP307" s="5">
        <v>-0.13815106919790299</v>
      </c>
      <c r="IQ307" s="5">
        <v>0.26280705386417902</v>
      </c>
      <c r="IR307" s="5">
        <v>9.8459576509742394E-2</v>
      </c>
      <c r="IS307" s="5">
        <v>-0.104846252419833</v>
      </c>
      <c r="IT307" s="5">
        <v>-0.24303710737809001</v>
      </c>
      <c r="IU307" s="5">
        <v>0.43848898963196498</v>
      </c>
      <c r="IV307" s="5">
        <v>-0.23812494563324599</v>
      </c>
      <c r="IW307" s="5">
        <v>0.496225037533498</v>
      </c>
      <c r="IX307" s="5">
        <v>-0.19233026735731601</v>
      </c>
      <c r="IY307" s="5">
        <v>0.39550112058182202</v>
      </c>
      <c r="IZ307" s="5">
        <v>7.9770307714700797E-2</v>
      </c>
      <c r="JA307" s="5">
        <v>-0.116983150549517</v>
      </c>
      <c r="JB307" s="5">
        <v>-0.116901049205311</v>
      </c>
      <c r="JC307" s="5">
        <v>0.11894300518359301</v>
      </c>
      <c r="JD307" s="5">
        <v>-0.12698362722491899</v>
      </c>
      <c r="JE307" s="5">
        <v>0.23918605907058699</v>
      </c>
      <c r="JF307" s="5">
        <v>-6.4387205680616996E-2</v>
      </c>
      <c r="JG307" s="5">
        <v>0.22436192117706499</v>
      </c>
      <c r="JH307" s="5">
        <v>-0.16764111016671601</v>
      </c>
      <c r="JI307" s="5">
        <v>0.23608905265626501</v>
      </c>
      <c r="JJ307" s="5">
        <v>-0.44310937775470199</v>
      </c>
      <c r="JK307" s="5">
        <v>0.696610250042074</v>
      </c>
      <c r="JL307" s="5">
        <v>-0.364359099965339</v>
      </c>
      <c r="JM307" s="5">
        <v>0.53367547379076996</v>
      </c>
      <c r="JN307" s="5">
        <v>-0.24241893648622001</v>
      </c>
      <c r="JO307" s="5">
        <v>0.37538083891816798</v>
      </c>
      <c r="JP307" s="5">
        <v>-0.26648751449674002</v>
      </c>
      <c r="JQ307" s="5">
        <v>0.49324594043653902</v>
      </c>
      <c r="JR307" s="5">
        <v>6.3499769873185494E-2</v>
      </c>
      <c r="JS307" s="5">
        <v>0.1519101079196</v>
      </c>
      <c r="JT307" s="5">
        <v>4.2232200097744303E-2</v>
      </c>
      <c r="JU307" s="5">
        <v>0.113523390126997</v>
      </c>
      <c r="JV307" s="5">
        <v>-0.11105042204806199</v>
      </c>
      <c r="JW307" s="5">
        <v>0.37283803374763202</v>
      </c>
      <c r="JX307" s="5">
        <v>3.0856628164219499E-3</v>
      </c>
      <c r="JY307" s="5">
        <v>-3.1958901999778001E-2</v>
      </c>
      <c r="JZ307" s="5">
        <v>-0.36500028404791601</v>
      </c>
      <c r="KA307" s="5">
        <v>0.45503216827748399</v>
      </c>
      <c r="KB307" s="5">
        <v>-2.4363004334421599E-2</v>
      </c>
      <c r="KC307" s="5">
        <v>-3.6620989181954097E-2</v>
      </c>
      <c r="KD307" s="5">
        <v>-0.21140113815210701</v>
      </c>
      <c r="KE307" s="5">
        <v>0.29695904755616598</v>
      </c>
      <c r="KF307" s="5">
        <v>-0.172845379986208</v>
      </c>
      <c r="KG307" s="5">
        <v>0.27948482539984199</v>
      </c>
      <c r="KH307" s="5">
        <v>-0.343984855745052</v>
      </c>
      <c r="KI307" s="5">
        <v>0.43470989361762702</v>
      </c>
      <c r="KJ307" s="5">
        <v>-0.54368270800085305</v>
      </c>
      <c r="KK307" s="5">
        <v>0.73819216666205301</v>
      </c>
      <c r="KL307" s="5">
        <v>0.16019858014774399</v>
      </c>
      <c r="KM307" s="5">
        <v>-9.1767117608707593E-2</v>
      </c>
      <c r="KN307" s="5">
        <v>4.4131607004104997E-2</v>
      </c>
      <c r="KO307" s="5">
        <v>-7.4020125152126595E-2</v>
      </c>
      <c r="KP307" s="5">
        <v>0.21471094772674701</v>
      </c>
      <c r="KQ307" s="5">
        <v>-0.247230475338652</v>
      </c>
      <c r="KR307" s="5">
        <v>-0.23940135124672399</v>
      </c>
      <c r="KS307" s="5">
        <v>0.44859280750482899</v>
      </c>
      <c r="KT307" s="5">
        <v>-0.724967256855655</v>
      </c>
      <c r="KU307" s="5">
        <v>1</v>
      </c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</row>
    <row r="308" spans="1:389" x14ac:dyDescent="0.45">
      <c r="A308" s="4" t="str">
        <f ca="1">"SDN / beta1dist in "&amp;CELL("address",'damages-1990'!$J$155)</f>
        <v>SDN / beta1dist in '[BHM betas v3pd.xlsx]damages-1990'!$J$155</v>
      </c>
      <c r="B308" s="6">
        <v>0.32683556158424698</v>
      </c>
      <c r="C308" s="5">
        <v>-5.4773989601219E-2</v>
      </c>
      <c r="D308" s="5">
        <v>0.57215658356412102</v>
      </c>
      <c r="E308" s="5">
        <v>-0.29537964144626599</v>
      </c>
      <c r="F308" s="5">
        <v>0.149128284293228</v>
      </c>
      <c r="G308" s="5">
        <v>9.5772986445344696E-2</v>
      </c>
      <c r="H308" s="5">
        <v>-9.3324853563543697E-2</v>
      </c>
      <c r="I308" s="5">
        <v>8.2961163006176994E-2</v>
      </c>
      <c r="J308" s="5">
        <v>0.58325643818569906</v>
      </c>
      <c r="K308" s="5">
        <v>-0.312170377081188</v>
      </c>
      <c r="L308" s="5">
        <v>0.32732227644537798</v>
      </c>
      <c r="M308" s="5">
        <v>2.0642854986897101E-2</v>
      </c>
      <c r="N308" s="5">
        <v>-0.11166101067390199</v>
      </c>
      <c r="O308" s="5">
        <v>0.14480685713512101</v>
      </c>
      <c r="P308" s="5">
        <v>0.530186321411934</v>
      </c>
      <c r="Q308" s="5">
        <v>-0.37981597983660997</v>
      </c>
      <c r="R308" s="5">
        <v>0.46984173146050401</v>
      </c>
      <c r="S308" s="5">
        <v>-0.22285090725889001</v>
      </c>
      <c r="T308" s="5">
        <v>0.13381657475818401</v>
      </c>
      <c r="U308" s="5">
        <v>-0.15761136986558699</v>
      </c>
      <c r="V308" s="5">
        <v>0.25385662646094398</v>
      </c>
      <c r="W308" s="5">
        <v>8.2453122113327101E-2</v>
      </c>
      <c r="X308" s="5">
        <v>0.55720254568824801</v>
      </c>
      <c r="Y308" s="5">
        <v>-0.26901681604821898</v>
      </c>
      <c r="Z308" s="5">
        <v>9.4397074814897702E-2</v>
      </c>
      <c r="AA308" s="5">
        <v>-1.6971144519129899E-2</v>
      </c>
      <c r="AB308" s="5">
        <v>0.60688375401386796</v>
      </c>
      <c r="AC308" s="5">
        <v>-0.44991449469024097</v>
      </c>
      <c r="AD308" s="5">
        <v>0.747885938571904</v>
      </c>
      <c r="AE308" s="5">
        <v>-0.52623703378383102</v>
      </c>
      <c r="AF308" s="5">
        <v>0.36247929457445099</v>
      </c>
      <c r="AG308" s="5">
        <v>-0.159867614149102</v>
      </c>
      <c r="AH308" s="5">
        <v>0.16034553193335199</v>
      </c>
      <c r="AI308" s="5">
        <v>2.4695039248831398E-2</v>
      </c>
      <c r="AJ308" s="5">
        <v>0.52464038310450101</v>
      </c>
      <c r="AK308" s="5">
        <v>-0.27284691164519898</v>
      </c>
      <c r="AL308" s="5">
        <v>3.9105011736131998E-2</v>
      </c>
      <c r="AM308" s="5">
        <v>0.16488099944920001</v>
      </c>
      <c r="AN308" s="5">
        <v>0.13745471563102701</v>
      </c>
      <c r="AO308" s="5">
        <v>-5.4617623312250597E-2</v>
      </c>
      <c r="AP308" s="5">
        <v>-2.1036365461115401E-2</v>
      </c>
      <c r="AQ308" s="5">
        <v>1.5878112188291899E-2</v>
      </c>
      <c r="AR308" s="5">
        <v>0.29417605755936699</v>
      </c>
      <c r="AS308" s="5">
        <v>-3.6183332418550901E-2</v>
      </c>
      <c r="AT308" s="5">
        <v>9.0382769373272207E-3</v>
      </c>
      <c r="AU308" s="5">
        <v>0.15777317399653601</v>
      </c>
      <c r="AV308" s="5">
        <v>0.47159512570062401</v>
      </c>
      <c r="AW308" s="5">
        <v>-0.25251286363078601</v>
      </c>
      <c r="AX308" s="5">
        <v>0.55125382322452399</v>
      </c>
      <c r="AY308" s="5">
        <v>-0.33254759802314598</v>
      </c>
      <c r="AZ308" s="5">
        <v>0.582234648750242</v>
      </c>
      <c r="BA308" s="5">
        <v>-0.41450304741156102</v>
      </c>
      <c r="BB308" s="5">
        <v>0.50469583628815295</v>
      </c>
      <c r="BC308" s="5">
        <v>-0.258496310967747</v>
      </c>
      <c r="BD308" s="5">
        <v>0.142622714968036</v>
      </c>
      <c r="BE308" s="5">
        <v>0.130120056389193</v>
      </c>
      <c r="BF308" s="5">
        <v>0.470303777286605</v>
      </c>
      <c r="BG308" s="5">
        <v>-0.25224704966757</v>
      </c>
      <c r="BH308" s="5">
        <v>0.68420757046874003</v>
      </c>
      <c r="BI308" s="5">
        <v>-0.448146597072904</v>
      </c>
      <c r="BJ308" s="5">
        <v>-0.26495139994809302</v>
      </c>
      <c r="BK308" s="5">
        <v>0.24588280159482701</v>
      </c>
      <c r="BL308" s="5">
        <v>0.12139201027577699</v>
      </c>
      <c r="BM308" s="5">
        <v>-0.150588819182983</v>
      </c>
      <c r="BN308" s="5">
        <v>-4.4995197593330802E-2</v>
      </c>
      <c r="BO308" s="5">
        <v>0.13938903027206501</v>
      </c>
      <c r="BP308" s="5">
        <v>-0.15540149210196799</v>
      </c>
      <c r="BQ308" s="5">
        <v>0.30201999317996397</v>
      </c>
      <c r="BR308" s="5">
        <v>0.63018451880819903</v>
      </c>
      <c r="BS308" s="5">
        <v>-0.42730124364300098</v>
      </c>
      <c r="BT308" s="5">
        <v>0.67928093509245002</v>
      </c>
      <c r="BU308" s="5">
        <v>-0.47212700580269901</v>
      </c>
      <c r="BV308" s="5">
        <v>0.56499651591649502</v>
      </c>
      <c r="BW308" s="5">
        <v>-0.29802545307046502</v>
      </c>
      <c r="BX308" s="5">
        <v>0.463693640324704</v>
      </c>
      <c r="BY308" s="5">
        <v>-0.23523012585286701</v>
      </c>
      <c r="BZ308" s="5">
        <v>0.45733837987204001</v>
      </c>
      <c r="CA308" s="5">
        <v>-0.24708276830838199</v>
      </c>
      <c r="CB308" s="5">
        <v>0.158762574767909</v>
      </c>
      <c r="CC308" s="5">
        <v>-3.4899125615396702E-2</v>
      </c>
      <c r="CD308" s="5">
        <v>0.38254946446816601</v>
      </c>
      <c r="CE308" s="5">
        <v>-0.284951770438714</v>
      </c>
      <c r="CF308" s="5">
        <v>0.51569687686053201</v>
      </c>
      <c r="CG308" s="5">
        <v>-0.34169275011882599</v>
      </c>
      <c r="CH308" s="5">
        <v>1.4314314291015101E-2</v>
      </c>
      <c r="CI308" s="5">
        <v>0.17300453284814099</v>
      </c>
      <c r="CJ308" s="5">
        <v>0.21557729582625301</v>
      </c>
      <c r="CK308" s="5">
        <v>2.0861725901249101E-2</v>
      </c>
      <c r="CL308" s="5">
        <v>0.11056621649904801</v>
      </c>
      <c r="CM308" s="5">
        <v>-9.4074469068073194E-2</v>
      </c>
      <c r="CN308" s="5">
        <v>8.1648709799261296E-2</v>
      </c>
      <c r="CO308" s="5">
        <v>-2.932160076204E-2</v>
      </c>
      <c r="CP308" s="5">
        <v>0.486484596027706</v>
      </c>
      <c r="CQ308" s="5">
        <v>-0.27203761145361399</v>
      </c>
      <c r="CR308" s="5">
        <v>0.52886952828559997</v>
      </c>
      <c r="CS308" s="5">
        <v>-0.34545771701046202</v>
      </c>
      <c r="CT308" s="5">
        <v>4.6845048340415502E-2</v>
      </c>
      <c r="CU308" s="5">
        <v>-2.7746356438632401E-2</v>
      </c>
      <c r="CV308" s="5">
        <v>0.50035228985431501</v>
      </c>
      <c r="CW308" s="5">
        <v>-0.30595034534521498</v>
      </c>
      <c r="CX308" s="5">
        <v>0.50147837229810399</v>
      </c>
      <c r="CY308" s="5">
        <v>-0.24328635002196899</v>
      </c>
      <c r="CZ308" s="5">
        <v>0.43302409857024199</v>
      </c>
      <c r="DA308" s="5">
        <v>-0.243966989407706</v>
      </c>
      <c r="DB308" s="5">
        <v>0.44578103236514699</v>
      </c>
      <c r="DC308" s="5">
        <v>-8.9142691582899905E-2</v>
      </c>
      <c r="DD308" s="5">
        <v>0.71147291647368205</v>
      </c>
      <c r="DE308" s="5">
        <v>-0.42815493363471002</v>
      </c>
      <c r="DF308" s="5">
        <v>0.52588366083530602</v>
      </c>
      <c r="DG308" s="5">
        <v>-0.32038718603498301</v>
      </c>
      <c r="DH308" s="5">
        <v>0.21810516706983499</v>
      </c>
      <c r="DI308" s="5">
        <v>4.9533220439235998E-2</v>
      </c>
      <c r="DJ308" s="5">
        <v>-7.1503475242271103E-2</v>
      </c>
      <c r="DK308" s="5">
        <v>3.52298374282011E-2</v>
      </c>
      <c r="DL308" s="5">
        <v>0.55130719301796405</v>
      </c>
      <c r="DM308" s="5">
        <v>-0.27080772978279199</v>
      </c>
      <c r="DN308" s="5">
        <v>-8.3567068958556298E-2</v>
      </c>
      <c r="DO308" s="5">
        <v>-2.2482215657214301E-4</v>
      </c>
      <c r="DP308" s="5">
        <v>0.12805040593523001</v>
      </c>
      <c r="DQ308" s="5">
        <v>0.134181612381227</v>
      </c>
      <c r="DR308" s="5">
        <v>0.12127325759511</v>
      </c>
      <c r="DS308" s="5">
        <v>2.8490238077452799E-2</v>
      </c>
      <c r="DT308" s="5">
        <v>9.6240224404949504E-2</v>
      </c>
      <c r="DU308" s="5">
        <v>4.7343444289059899E-2</v>
      </c>
      <c r="DV308" s="5">
        <v>0.401127275869889</v>
      </c>
      <c r="DW308" s="5">
        <v>-0.210191679848659</v>
      </c>
      <c r="DX308" s="5">
        <v>5.8105239294561399E-2</v>
      </c>
      <c r="DY308" s="5">
        <v>-4.5312416740967101E-2</v>
      </c>
      <c r="DZ308" s="5">
        <v>-4.1705084777069197E-2</v>
      </c>
      <c r="EA308" s="5">
        <v>7.3593762286431802E-2</v>
      </c>
      <c r="EB308" s="5">
        <v>0.70062472186904801</v>
      </c>
      <c r="EC308" s="5">
        <v>-0.46713973511890899</v>
      </c>
      <c r="ED308" s="5">
        <v>0.65308422745170702</v>
      </c>
      <c r="EE308" s="5">
        <v>-0.42164342473330102</v>
      </c>
      <c r="EF308" s="5">
        <v>0.52820608664053104</v>
      </c>
      <c r="EG308" s="5">
        <v>-0.36203577915906499</v>
      </c>
      <c r="EH308" s="5">
        <v>0.69168767504958295</v>
      </c>
      <c r="EI308" s="5">
        <v>-0.44213985525765198</v>
      </c>
      <c r="EJ308" s="5">
        <v>0.69092376005399203</v>
      </c>
      <c r="EK308" s="5">
        <v>-0.44002598509296098</v>
      </c>
      <c r="EL308" s="5">
        <v>0.60600521561083198</v>
      </c>
      <c r="EM308" s="5">
        <v>-0.41665053194898399</v>
      </c>
      <c r="EN308" s="5">
        <v>0.132452383658963</v>
      </c>
      <c r="EO308" s="5">
        <v>0.161410277284601</v>
      </c>
      <c r="EP308" s="5">
        <v>0.57595774080322004</v>
      </c>
      <c r="EQ308" s="5">
        <v>-0.38982594954643202</v>
      </c>
      <c r="ER308" s="5">
        <v>0.36376521801614298</v>
      </c>
      <c r="ES308" s="5">
        <v>-8.91024253170207E-2</v>
      </c>
      <c r="ET308" s="5">
        <v>0.50196267733826205</v>
      </c>
      <c r="EU308" s="5">
        <v>-0.31156741895544898</v>
      </c>
      <c r="EV308" s="5">
        <v>0.516689554896967</v>
      </c>
      <c r="EW308" s="5">
        <v>-0.33123699953397001</v>
      </c>
      <c r="EX308" s="5">
        <v>0.23040857332321299</v>
      </c>
      <c r="EY308" s="5">
        <v>-4.3868834839774599E-2</v>
      </c>
      <c r="EZ308" s="5">
        <v>0.39929946915949299</v>
      </c>
      <c r="FA308" s="5">
        <v>-0.13547152261376999</v>
      </c>
      <c r="FB308" s="5">
        <v>0.15308696581470799</v>
      </c>
      <c r="FC308" s="5">
        <v>3.0660853874832798E-2</v>
      </c>
      <c r="FD308" s="5">
        <v>0.427511061794563</v>
      </c>
      <c r="FE308" s="5">
        <v>-0.226649673852126</v>
      </c>
      <c r="FF308" s="5">
        <v>0.13469438470648901</v>
      </c>
      <c r="FG308" s="5">
        <v>9.6294084339219096E-3</v>
      </c>
      <c r="FH308" s="5">
        <v>0.421436813866435</v>
      </c>
      <c r="FI308" s="5">
        <v>-0.19689584474892999</v>
      </c>
      <c r="FJ308" s="5">
        <v>0.52811618962566798</v>
      </c>
      <c r="FK308" s="5">
        <v>-0.247161883829184</v>
      </c>
      <c r="FL308" s="5">
        <v>-2.5336698601518002E-3</v>
      </c>
      <c r="FM308" s="5">
        <v>4.5652041679970702E-2</v>
      </c>
      <c r="FN308" s="5">
        <v>0.503714308084523</v>
      </c>
      <c r="FO308" s="5">
        <v>-0.18573392187625701</v>
      </c>
      <c r="FP308" s="5">
        <v>0.52043530462211596</v>
      </c>
      <c r="FQ308" s="5">
        <v>-0.19507271435189699</v>
      </c>
      <c r="FR308" s="5">
        <v>-0.12990945535952</v>
      </c>
      <c r="FS308" s="5">
        <v>0.11200888051126499</v>
      </c>
      <c r="FT308" s="5">
        <v>0.36562780499782799</v>
      </c>
      <c r="FU308" s="5">
        <v>4.4718174621333302E-3</v>
      </c>
      <c r="FV308" s="5">
        <v>0.15823069928348901</v>
      </c>
      <c r="FW308" s="5">
        <v>0.10171180042419301</v>
      </c>
      <c r="FX308" s="5">
        <v>0.38432195799172397</v>
      </c>
      <c r="FY308" s="5">
        <v>-0.19728243898958001</v>
      </c>
      <c r="FZ308" s="5">
        <v>0.43874508023441899</v>
      </c>
      <c r="GA308" s="5">
        <v>-5.2513018162225103E-2</v>
      </c>
      <c r="GB308" s="5">
        <v>0.11981361247757399</v>
      </c>
      <c r="GC308" s="5">
        <v>0.120774992979625</v>
      </c>
      <c r="GD308" s="5">
        <v>-0.25656486371821802</v>
      </c>
      <c r="GE308" s="5">
        <v>0.28018531682910303</v>
      </c>
      <c r="GF308" s="5">
        <v>0.39437048634406802</v>
      </c>
      <c r="GG308" s="5">
        <v>-0.167000858627702</v>
      </c>
      <c r="GH308" s="5">
        <v>-0.31200178340574802</v>
      </c>
      <c r="GI308" s="5">
        <v>0.26345166243203899</v>
      </c>
      <c r="GJ308" s="5">
        <v>0.43357239148258298</v>
      </c>
      <c r="GK308" s="5">
        <v>-0.24888434705937201</v>
      </c>
      <c r="GL308" s="5">
        <v>0.57607718068079805</v>
      </c>
      <c r="GM308" s="5">
        <v>-0.40908222631358698</v>
      </c>
      <c r="GN308" s="5">
        <v>0.13795689297293101</v>
      </c>
      <c r="GO308" s="5">
        <v>0.11989572524561901</v>
      </c>
      <c r="GP308" s="5">
        <v>0.58304429066912999</v>
      </c>
      <c r="GQ308" s="5">
        <v>-0.28745184174823701</v>
      </c>
      <c r="GR308" s="5">
        <v>0.53026187124863</v>
      </c>
      <c r="GS308" s="5">
        <v>-0.36209270792753001</v>
      </c>
      <c r="GT308" s="5">
        <v>0.296144753991534</v>
      </c>
      <c r="GU308" s="5">
        <v>6.2210637541807001E-2</v>
      </c>
      <c r="GV308" s="5">
        <v>0.48975090580328201</v>
      </c>
      <c r="GW308" s="5">
        <v>-0.36850994111037899</v>
      </c>
      <c r="GX308" s="5">
        <v>0.417535079542393</v>
      </c>
      <c r="GY308" s="5">
        <v>-0.13409745035024601</v>
      </c>
      <c r="GZ308" s="5">
        <v>0.121584051064816</v>
      </c>
      <c r="HA308" s="5">
        <v>-0.143277911124645</v>
      </c>
      <c r="HB308" s="5">
        <v>0.36785336251198902</v>
      </c>
      <c r="HC308" s="5">
        <v>-0.178321766924004</v>
      </c>
      <c r="HD308" s="5">
        <v>0.195657432369577</v>
      </c>
      <c r="HE308" s="5">
        <v>9.3885713246575894E-2</v>
      </c>
      <c r="HF308" s="5">
        <v>-1.59333156286393E-2</v>
      </c>
      <c r="HG308" s="5">
        <v>5.9943591678100301E-3</v>
      </c>
      <c r="HH308" s="5">
        <v>8.3659458709353901E-2</v>
      </c>
      <c r="HI308" s="5">
        <v>-1.9489390279186499E-2</v>
      </c>
      <c r="HJ308" s="5">
        <v>-4.5879721981398197E-2</v>
      </c>
      <c r="HK308" s="5">
        <v>2.2160699206171499E-2</v>
      </c>
      <c r="HL308" s="5">
        <v>0.45682130455856201</v>
      </c>
      <c r="HM308" s="5">
        <v>-0.22984263883786199</v>
      </c>
      <c r="HN308" s="5">
        <v>0.12389481241453</v>
      </c>
      <c r="HO308" s="5">
        <v>-9.6557112753584495E-5</v>
      </c>
      <c r="HP308" s="5">
        <v>0.37573933096844098</v>
      </c>
      <c r="HQ308" s="5">
        <v>-0.12024642331621201</v>
      </c>
      <c r="HR308" s="5">
        <v>0.42794222412952398</v>
      </c>
      <c r="HS308" s="5">
        <v>-0.12138108506744</v>
      </c>
      <c r="HT308" s="5">
        <v>0.14477745810005799</v>
      </c>
      <c r="HU308" s="5">
        <v>1.4856583305350999E-2</v>
      </c>
      <c r="HV308" s="5">
        <v>0.64518855847785594</v>
      </c>
      <c r="HW308" s="5">
        <v>-0.40096187545620798</v>
      </c>
      <c r="HX308" s="5">
        <v>0.47298605121868897</v>
      </c>
      <c r="HY308" s="5">
        <v>-0.25836315874982202</v>
      </c>
      <c r="HZ308" s="5">
        <v>0.11924974838680499</v>
      </c>
      <c r="IA308" s="5">
        <v>-7.6869476690015606E-2</v>
      </c>
      <c r="IB308" s="5">
        <v>-0.26538139865675098</v>
      </c>
      <c r="IC308" s="5">
        <v>0.24722258566903299</v>
      </c>
      <c r="ID308" s="5">
        <v>0.58621846983921899</v>
      </c>
      <c r="IE308" s="5">
        <v>-0.36421104260190701</v>
      </c>
      <c r="IF308" s="5">
        <v>0.63359766549753505</v>
      </c>
      <c r="IG308" s="5">
        <v>-0.391825637707226</v>
      </c>
      <c r="IH308" s="5">
        <v>0.55904737419881601</v>
      </c>
      <c r="II308" s="5">
        <v>-0.379932307015169</v>
      </c>
      <c r="IJ308" s="5">
        <v>5.3539508965887203E-2</v>
      </c>
      <c r="IK308" s="5">
        <v>4.3960442598257002E-2</v>
      </c>
      <c r="IL308" s="5">
        <v>0.60249124359760498</v>
      </c>
      <c r="IM308" s="5">
        <v>-0.350194578995355</v>
      </c>
      <c r="IN308" s="5">
        <v>0.54036928094876902</v>
      </c>
      <c r="IO308" s="5">
        <v>-0.34517302333153299</v>
      </c>
      <c r="IP308" s="5">
        <v>0.56958004509878801</v>
      </c>
      <c r="IQ308" s="5">
        <v>-0.30801304036409899</v>
      </c>
      <c r="IR308" s="5">
        <v>0.10830942970756</v>
      </c>
      <c r="IS308" s="5">
        <v>9.4942078057752594E-2</v>
      </c>
      <c r="IT308" s="5">
        <v>0.63888288800736803</v>
      </c>
      <c r="IU308" s="5">
        <v>-0.39795968678841598</v>
      </c>
      <c r="IV308" s="5">
        <v>0.62255809491914305</v>
      </c>
      <c r="IW308" s="5">
        <v>-0.43258172250884902</v>
      </c>
      <c r="IX308" s="5">
        <v>0.49259842590762898</v>
      </c>
      <c r="IY308" s="5">
        <v>-0.27224632854156999</v>
      </c>
      <c r="IZ308" s="5">
        <v>9.7127641266606501E-2</v>
      </c>
      <c r="JA308" s="5">
        <v>-3.5288308951653399E-2</v>
      </c>
      <c r="JB308" s="5">
        <v>3.4336924405864701E-2</v>
      </c>
      <c r="JC308" s="5">
        <v>-0.145521726914423</v>
      </c>
      <c r="JD308" s="5">
        <v>0.31972994567525398</v>
      </c>
      <c r="JE308" s="5">
        <v>-5.8551336151112701E-2</v>
      </c>
      <c r="JF308" s="5">
        <v>0.28405618436059599</v>
      </c>
      <c r="JG308" s="5">
        <v>-0.184272878014587</v>
      </c>
      <c r="JH308" s="5">
        <v>9.8099477180934605E-2</v>
      </c>
      <c r="JI308" s="5">
        <v>-1.2982976249499701E-2</v>
      </c>
      <c r="JJ308" s="5">
        <v>0.63165944952707898</v>
      </c>
      <c r="JK308" s="5">
        <v>-0.34634993998268898</v>
      </c>
      <c r="JL308" s="5">
        <v>0.59364041250311195</v>
      </c>
      <c r="JM308" s="5">
        <v>-0.31610225404784698</v>
      </c>
      <c r="JN308" s="5">
        <v>0.46554636139222599</v>
      </c>
      <c r="JO308" s="5">
        <v>-0.29448441355981803</v>
      </c>
      <c r="JP308" s="5">
        <v>0.47774353851120099</v>
      </c>
      <c r="JQ308" s="5">
        <v>-0.242377895171103</v>
      </c>
      <c r="JR308" s="5">
        <v>0.25188228693991199</v>
      </c>
      <c r="JS308" s="5">
        <v>-2.4801436675550098E-4</v>
      </c>
      <c r="JT308" s="5">
        <v>9.7628627731061197E-3</v>
      </c>
      <c r="JU308" s="5">
        <v>0.163253087001069</v>
      </c>
      <c r="JV308" s="5">
        <v>0.406128864352508</v>
      </c>
      <c r="JW308" s="5">
        <v>-0.13067742842562799</v>
      </c>
      <c r="JX308" s="5">
        <v>7.2917813024007294E-2</v>
      </c>
      <c r="JY308" s="5">
        <v>-4.5735940566594302E-2</v>
      </c>
      <c r="JZ308" s="5">
        <v>0.55982201607149495</v>
      </c>
      <c r="KA308" s="5">
        <v>-0.38003252848486702</v>
      </c>
      <c r="KB308" s="5">
        <v>-6.3107356304387602E-2</v>
      </c>
      <c r="KC308" s="5">
        <v>6.9562287391732994E-2</v>
      </c>
      <c r="KD308" s="5">
        <v>0.23077713032139899</v>
      </c>
      <c r="KE308" s="5">
        <v>2.9391104550539299E-2</v>
      </c>
      <c r="KF308" s="5">
        <v>0.39326013063617299</v>
      </c>
      <c r="KG308" s="5">
        <v>-0.19332465133287299</v>
      </c>
      <c r="KH308" s="5">
        <v>0.31632986905946697</v>
      </c>
      <c r="KI308" s="5">
        <v>5.5450799071144197E-2</v>
      </c>
      <c r="KJ308" s="5">
        <v>0.57299905357918601</v>
      </c>
      <c r="KK308" s="5">
        <v>-0.31260792476205701</v>
      </c>
      <c r="KL308" s="5">
        <v>0.16220414813317899</v>
      </c>
      <c r="KM308" s="5">
        <v>-9.3482191925289802E-3</v>
      </c>
      <c r="KN308" s="5">
        <v>0.12918235421805399</v>
      </c>
      <c r="KO308" s="5">
        <v>-4.90449371585518E-2</v>
      </c>
      <c r="KP308" s="5">
        <v>-0.25763646479357699</v>
      </c>
      <c r="KQ308" s="5">
        <v>0.17207020964828801</v>
      </c>
      <c r="KR308" s="5">
        <v>0.54164790777792504</v>
      </c>
      <c r="KS308" s="5">
        <v>-0.27473278131873202</v>
      </c>
      <c r="KT308" s="5">
        <v>0.65795204404320495</v>
      </c>
      <c r="KU308" s="5">
        <v>-0.38203837525775602</v>
      </c>
      <c r="KV308" s="5">
        <v>1</v>
      </c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</row>
    <row r="309" spans="1:389" x14ac:dyDescent="0.45">
      <c r="A309" s="4" t="str">
        <f ca="1">"SDN / beta2dist in "&amp;CELL("address",'damages-1990'!$K$155)</f>
        <v>SDN / beta2dist in '[BHM betas v3pd.xlsx]damages-1990'!$K$155</v>
      </c>
      <c r="B309" s="6">
        <v>-0.20290143590943799</v>
      </c>
      <c r="C309" s="5">
        <v>0.36158569548770603</v>
      </c>
      <c r="D309" s="5">
        <v>-0.24858884055519301</v>
      </c>
      <c r="E309" s="5">
        <v>0.50196996242701397</v>
      </c>
      <c r="F309" s="5">
        <v>-3.4087590549274398E-2</v>
      </c>
      <c r="G309" s="5">
        <v>3.6873893200162502E-2</v>
      </c>
      <c r="H309" s="5">
        <v>1.64987324764348E-3</v>
      </c>
      <c r="I309" s="5">
        <v>-7.6720625642615697E-2</v>
      </c>
      <c r="J309" s="5">
        <v>-0.247463053987895</v>
      </c>
      <c r="K309" s="5">
        <v>0.44612912763547502</v>
      </c>
      <c r="L309" s="5">
        <v>-2.0821798597854501E-2</v>
      </c>
      <c r="M309" s="5">
        <v>4.6329874629385502E-2</v>
      </c>
      <c r="N309" s="5">
        <v>6.9518016251496104E-2</v>
      </c>
      <c r="O309" s="5">
        <v>-0.13272633493791899</v>
      </c>
      <c r="P309" s="5">
        <v>-0.48690029046227901</v>
      </c>
      <c r="Q309" s="5">
        <v>0.62905389618002305</v>
      </c>
      <c r="R309" s="5">
        <v>-0.13784931261464101</v>
      </c>
      <c r="S309" s="5">
        <v>0.389573927589078</v>
      </c>
      <c r="T309" s="5">
        <v>-0.24361323663635001</v>
      </c>
      <c r="U309" s="5">
        <v>0.25210286140726101</v>
      </c>
      <c r="V309" s="5">
        <v>-7.3877711997796899E-2</v>
      </c>
      <c r="W309" s="5">
        <v>0.100456215042259</v>
      </c>
      <c r="X309" s="5">
        <v>-0.26185353820943003</v>
      </c>
      <c r="Y309" s="5">
        <v>0.46168326151984501</v>
      </c>
      <c r="Z309" s="5">
        <v>-0.111880708483043</v>
      </c>
      <c r="AA309" s="5">
        <v>0.12757201378834099</v>
      </c>
      <c r="AB309" s="5">
        <v>-0.34295482707516201</v>
      </c>
      <c r="AC309" s="5">
        <v>0.64174947967520102</v>
      </c>
      <c r="AD309" s="5">
        <v>-0.54710607725890104</v>
      </c>
      <c r="AE309" s="5">
        <v>0.79144126599944298</v>
      </c>
      <c r="AF309" s="5">
        <v>-0.13534895932525201</v>
      </c>
      <c r="AG309" s="5">
        <v>0.34344468232587699</v>
      </c>
      <c r="AH309" s="5">
        <v>-8.6514881383151401E-2</v>
      </c>
      <c r="AI309" s="5">
        <v>9.5240676515851802E-2</v>
      </c>
      <c r="AJ309" s="5">
        <v>-0.26693720176115099</v>
      </c>
      <c r="AK309" s="5">
        <v>0.45276446388885999</v>
      </c>
      <c r="AL309" s="5">
        <v>0.36093784615934799</v>
      </c>
      <c r="AM309" s="5">
        <v>-0.33922830432689499</v>
      </c>
      <c r="AN309" s="5">
        <v>-0.163433206697497</v>
      </c>
      <c r="AO309" s="5">
        <v>0.18518021276804</v>
      </c>
      <c r="AP309" s="5">
        <v>-0.168413883887611</v>
      </c>
      <c r="AQ309" s="5">
        <v>0.19102535751289801</v>
      </c>
      <c r="AR309" s="5">
        <v>3.6915633879972397E-2</v>
      </c>
      <c r="AS309" s="5">
        <v>9.2164254762754E-2</v>
      </c>
      <c r="AT309" s="5">
        <v>0.34525232477663698</v>
      </c>
      <c r="AU309" s="5">
        <v>-0.29752898536950501</v>
      </c>
      <c r="AV309" s="5">
        <v>-0.102962020486499</v>
      </c>
      <c r="AW309" s="5">
        <v>0.41037977774474099</v>
      </c>
      <c r="AX309" s="5">
        <v>-0.196078558932371</v>
      </c>
      <c r="AY309" s="5">
        <v>0.48956385391996599</v>
      </c>
      <c r="AZ309" s="5">
        <v>-0.50895680724608605</v>
      </c>
      <c r="BA309" s="5">
        <v>0.63095765970074802</v>
      </c>
      <c r="BB309" s="5">
        <v>-0.13725475970904999</v>
      </c>
      <c r="BC309" s="5">
        <v>0.40905138436132599</v>
      </c>
      <c r="BD309" s="5">
        <v>-0.12226355904273301</v>
      </c>
      <c r="BE309" s="5">
        <v>0.22453161041806699</v>
      </c>
      <c r="BF309" s="5">
        <v>-0.18449921113544199</v>
      </c>
      <c r="BG309" s="5">
        <v>0.37728060342631897</v>
      </c>
      <c r="BH309" s="5">
        <v>-0.352435693084863</v>
      </c>
      <c r="BI309" s="5">
        <v>0.64961029105239099</v>
      </c>
      <c r="BJ309" s="5">
        <v>5.1715610567512598E-3</v>
      </c>
      <c r="BK309" s="5">
        <v>-0.22472575032640599</v>
      </c>
      <c r="BL309" s="5">
        <v>-0.25340247072172101</v>
      </c>
      <c r="BM309" s="5">
        <v>0.23179497857606801</v>
      </c>
      <c r="BN309" s="5">
        <v>-4.24168699907203E-2</v>
      </c>
      <c r="BO309" s="5">
        <v>-1.2106531889590801E-2</v>
      </c>
      <c r="BP309" s="5">
        <v>4.3101931019873099E-2</v>
      </c>
      <c r="BQ309" s="5">
        <v>-0.17296279212028101</v>
      </c>
      <c r="BR309" s="5">
        <v>-0.44251911159380403</v>
      </c>
      <c r="BS309" s="5">
        <v>0.69240238364616302</v>
      </c>
      <c r="BT309" s="5">
        <v>-0.32182846288202299</v>
      </c>
      <c r="BU309" s="5">
        <v>0.66527236182300997</v>
      </c>
      <c r="BV309" s="5">
        <v>-0.228775868904807</v>
      </c>
      <c r="BW309" s="5">
        <v>0.492234675077035</v>
      </c>
      <c r="BX309" s="5">
        <v>-0.13657424719087499</v>
      </c>
      <c r="BY309" s="5">
        <v>0.39992657837180001</v>
      </c>
      <c r="BZ309" s="5">
        <v>-0.15092832953171301</v>
      </c>
      <c r="CA309" s="5">
        <v>0.422578040426697</v>
      </c>
      <c r="CB309" s="5">
        <v>0.11439248304422001</v>
      </c>
      <c r="CC309" s="5">
        <v>0.116155301271766</v>
      </c>
      <c r="CD309" s="5">
        <v>-0.24842419131125501</v>
      </c>
      <c r="CE309" s="5">
        <v>0.44369650674025701</v>
      </c>
      <c r="CF309" s="5">
        <v>-0.36291280150783001</v>
      </c>
      <c r="CG309" s="5">
        <v>0.52760693753043897</v>
      </c>
      <c r="CH309" s="5">
        <v>0.39593581023039598</v>
      </c>
      <c r="CI309" s="5">
        <v>-0.365023860328829</v>
      </c>
      <c r="CJ309" s="5">
        <v>-3.7017734569117902E-2</v>
      </c>
      <c r="CK309" s="5">
        <v>6.6815024578325E-2</v>
      </c>
      <c r="CL309" s="5">
        <v>-0.165114963778591</v>
      </c>
      <c r="CM309" s="5">
        <v>0.17751290230990399</v>
      </c>
      <c r="CN309" s="5">
        <v>-0.118426249247764</v>
      </c>
      <c r="CO309" s="5">
        <v>0.120231365322154</v>
      </c>
      <c r="CP309" s="5">
        <v>-0.40916894106648799</v>
      </c>
      <c r="CQ309" s="5">
        <v>0.54863916099451004</v>
      </c>
      <c r="CR309" s="5">
        <v>-0.466562108514948</v>
      </c>
      <c r="CS309" s="5">
        <v>0.59627889897277797</v>
      </c>
      <c r="CT309" s="5">
        <v>-0.112346582014671</v>
      </c>
      <c r="CU309" s="5">
        <v>0.11197529426891201</v>
      </c>
      <c r="CV309" s="5">
        <v>-0.346842567645962</v>
      </c>
      <c r="CW309" s="5">
        <v>0.48551328754425399</v>
      </c>
      <c r="CX309" s="5">
        <v>-0.25282772488965299</v>
      </c>
      <c r="CY309" s="5">
        <v>0.46923374387371602</v>
      </c>
      <c r="CZ309" s="5">
        <v>-0.139102349668241</v>
      </c>
      <c r="DA309" s="5">
        <v>0.37501157446433098</v>
      </c>
      <c r="DB309" s="5">
        <v>-0.13571384835202499</v>
      </c>
      <c r="DC309" s="5">
        <v>0.241236670571259</v>
      </c>
      <c r="DD309" s="5">
        <v>-0.595942483225675</v>
      </c>
      <c r="DE309" s="5">
        <v>0.73524357150018804</v>
      </c>
      <c r="DF309" s="5">
        <v>-0.317454603108004</v>
      </c>
      <c r="DG309" s="5">
        <v>0.52240069367239805</v>
      </c>
      <c r="DH309" s="5">
        <v>-8.0559144618432901E-2</v>
      </c>
      <c r="DI309" s="5">
        <v>0.17426136168501599</v>
      </c>
      <c r="DJ309" s="5">
        <v>-0.138809060180201</v>
      </c>
      <c r="DK309" s="5">
        <v>0.16079735863097899</v>
      </c>
      <c r="DL309" s="5">
        <v>-0.28018480124100997</v>
      </c>
      <c r="DM309" s="5">
        <v>0.51291790687507399</v>
      </c>
      <c r="DN309" s="5">
        <v>-0.17662881542804601</v>
      </c>
      <c r="DO309" s="5">
        <v>0.18123667893447901</v>
      </c>
      <c r="DP309" s="5">
        <v>0.29164145951999398</v>
      </c>
      <c r="DQ309" s="5">
        <v>-0.25455345248033001</v>
      </c>
      <c r="DR309" s="5">
        <v>-8.0471244300358305E-2</v>
      </c>
      <c r="DS309" s="5">
        <v>0.122276445546551</v>
      </c>
      <c r="DT309" s="5">
        <v>-1.83731811882147E-2</v>
      </c>
      <c r="DU309" s="5">
        <v>0.10214297704028</v>
      </c>
      <c r="DV309" s="5">
        <v>-0.13396351990365599</v>
      </c>
      <c r="DW309" s="5">
        <v>0.35532951443689198</v>
      </c>
      <c r="DX309" s="5">
        <v>-0.175577396528805</v>
      </c>
      <c r="DY309" s="5">
        <v>0.21148535222835099</v>
      </c>
      <c r="DZ309" s="5">
        <v>-7.0545024615390898E-3</v>
      </c>
      <c r="EA309" s="5">
        <v>-1.2056450290076501E-2</v>
      </c>
      <c r="EB309" s="5">
        <v>-0.48064738633890802</v>
      </c>
      <c r="EC309" s="5">
        <v>0.71233857183155802</v>
      </c>
      <c r="ED309" s="5">
        <v>-0.392719745376025</v>
      </c>
      <c r="EE309" s="5">
        <v>0.65761508012547099</v>
      </c>
      <c r="EF309" s="5">
        <v>-0.495142683576343</v>
      </c>
      <c r="EG309" s="5">
        <v>0.61723043230154395</v>
      </c>
      <c r="EH309" s="5">
        <v>-0.41542001307199899</v>
      </c>
      <c r="EI309" s="5">
        <v>0.67133833982327995</v>
      </c>
      <c r="EJ309" s="5">
        <v>-0.41739154164423797</v>
      </c>
      <c r="EK309" s="5">
        <v>0.67329516932025202</v>
      </c>
      <c r="EL309" s="5">
        <v>-0.26766581268523498</v>
      </c>
      <c r="EM309" s="5">
        <v>0.55453733663385796</v>
      </c>
      <c r="EN309" s="5">
        <v>0.10429968043564899</v>
      </c>
      <c r="EO309" s="5">
        <v>-0.136661448130416</v>
      </c>
      <c r="EP309" s="5">
        <v>-0.47742332791898001</v>
      </c>
      <c r="EQ309" s="5">
        <v>0.58768255515920997</v>
      </c>
      <c r="ER309" s="5">
        <v>-3.6423492741307899E-2</v>
      </c>
      <c r="ES309" s="5">
        <v>0.201567531538272</v>
      </c>
      <c r="ET309" s="5">
        <v>-0.19207358745952199</v>
      </c>
      <c r="EU309" s="5">
        <v>0.40639602328841101</v>
      </c>
      <c r="EV309" s="5">
        <v>-0.29307434913749197</v>
      </c>
      <c r="EW309" s="5">
        <v>0.52599621481710801</v>
      </c>
      <c r="EX309" s="5">
        <v>9.1008258784503193E-2</v>
      </c>
      <c r="EY309" s="5">
        <v>7.7791305428795698E-2</v>
      </c>
      <c r="EZ309" s="5">
        <v>-0.115384405000172</v>
      </c>
      <c r="FA309" s="5">
        <v>0.307329282290912</v>
      </c>
      <c r="FB309" s="5">
        <v>-8.0255824375681406E-2</v>
      </c>
      <c r="FC309" s="5">
        <v>0.10323580675085101</v>
      </c>
      <c r="FD309" s="5">
        <v>-0.185589426029062</v>
      </c>
      <c r="FE309" s="5">
        <v>0.34175146091845798</v>
      </c>
      <c r="FF309" s="5">
        <v>-8.4518197444964499E-2</v>
      </c>
      <c r="FG309" s="5">
        <v>9.7942073042159794E-2</v>
      </c>
      <c r="FH309" s="5">
        <v>8.4046523887942898E-2</v>
      </c>
      <c r="FI309" s="5">
        <v>9.4026964440376601E-2</v>
      </c>
      <c r="FJ309" s="5">
        <v>-0.24606694849077701</v>
      </c>
      <c r="FK309" s="5">
        <v>0.46839651081560701</v>
      </c>
      <c r="FL309" s="5">
        <v>-7.6431299705567904E-2</v>
      </c>
      <c r="FM309" s="5">
        <v>8.9901882533947403E-2</v>
      </c>
      <c r="FN309" s="5">
        <v>-0.266968790330395</v>
      </c>
      <c r="FO309" s="5">
        <v>0.386687513561429</v>
      </c>
      <c r="FP309" s="5">
        <v>-0.242891221281192</v>
      </c>
      <c r="FQ309" s="5">
        <v>0.33400360047991201</v>
      </c>
      <c r="FR309" s="5">
        <v>0.13020540732491101</v>
      </c>
      <c r="FS309" s="5">
        <v>-0.15007290474132101</v>
      </c>
      <c r="FT309" s="5">
        <v>-9.9475842384702806E-2</v>
      </c>
      <c r="FU309" s="5">
        <v>0.16278388502614999</v>
      </c>
      <c r="FV309" s="5">
        <v>-4.5357313229190599E-3</v>
      </c>
      <c r="FW309" s="5">
        <v>4.4666655975811702E-2</v>
      </c>
      <c r="FX309" s="5">
        <v>-0.13486769045173599</v>
      </c>
      <c r="FY309" s="5">
        <v>0.28481034960136198</v>
      </c>
      <c r="FZ309" s="5">
        <v>-0.137198585805967</v>
      </c>
      <c r="GA309" s="5">
        <v>0.218655907868923</v>
      </c>
      <c r="GB309" s="5">
        <v>-7.9273044743865997E-2</v>
      </c>
      <c r="GC309" s="5">
        <v>0.102533127548201</v>
      </c>
      <c r="GD309" s="5">
        <v>0.116440474002588</v>
      </c>
      <c r="GE309" s="5">
        <v>-0.136469198886529</v>
      </c>
      <c r="GF309" s="5">
        <v>-7.2734693291241895E-2</v>
      </c>
      <c r="GG309" s="5">
        <v>0.35953205977566899</v>
      </c>
      <c r="GH309" s="5">
        <v>0.22819672645640099</v>
      </c>
      <c r="GI309" s="5">
        <v>-0.36273030490892</v>
      </c>
      <c r="GJ309" s="5">
        <v>-6.3755984022849099E-2</v>
      </c>
      <c r="GK309" s="5">
        <v>0.25916656593241999</v>
      </c>
      <c r="GL309" s="5">
        <v>-0.54370903046540997</v>
      </c>
      <c r="GM309" s="5">
        <v>0.65285878604519998</v>
      </c>
      <c r="GN309" s="5">
        <v>-4.6852684648194698E-2</v>
      </c>
      <c r="GO309" s="5">
        <v>8.5122905032588306E-2</v>
      </c>
      <c r="GP309" s="5">
        <v>-0.31951946839103801</v>
      </c>
      <c r="GQ309" s="5">
        <v>0.463101530781102</v>
      </c>
      <c r="GR309" s="5">
        <v>-0.19872757571305799</v>
      </c>
      <c r="GS309" s="5">
        <v>0.42917894005329299</v>
      </c>
      <c r="GT309" s="5">
        <v>-8.7293303507836706E-2</v>
      </c>
      <c r="GU309" s="5">
        <v>8.6734068498532005E-2</v>
      </c>
      <c r="GV309" s="5">
        <v>-0.20395974885535501</v>
      </c>
      <c r="GW309" s="5">
        <v>0.51045193773806197</v>
      </c>
      <c r="GX309" s="5">
        <v>-0.11531171858309</v>
      </c>
      <c r="GY309" s="5">
        <v>0.232291625324162</v>
      </c>
      <c r="GZ309" s="5">
        <v>-0.25100358730659</v>
      </c>
      <c r="HA309" s="5">
        <v>0.224303552050272</v>
      </c>
      <c r="HB309" s="5">
        <v>9.2468248091600504E-3</v>
      </c>
      <c r="HC309" s="5">
        <v>0.25170759982720797</v>
      </c>
      <c r="HD309" s="5">
        <v>-0.135866385458836</v>
      </c>
      <c r="HE309" s="5">
        <v>0.25764838021311098</v>
      </c>
      <c r="HF309" s="5">
        <v>-0.15311807334098701</v>
      </c>
      <c r="HG309" s="5">
        <v>0.169537754704181</v>
      </c>
      <c r="HH309" s="5">
        <v>-0.11400888718506</v>
      </c>
      <c r="HI309" s="5">
        <v>0.117753345000615</v>
      </c>
      <c r="HJ309" s="5">
        <v>-0.13891511950059901</v>
      </c>
      <c r="HK309" s="5">
        <v>0.154681362069092</v>
      </c>
      <c r="HL309" s="5">
        <v>-0.261945504746189</v>
      </c>
      <c r="HM309" s="5">
        <v>0.48888186413005202</v>
      </c>
      <c r="HN309" s="5">
        <v>-0.116165518513591</v>
      </c>
      <c r="HO309" s="5">
        <v>0.143065744639647</v>
      </c>
      <c r="HP309" s="5">
        <v>7.6433623333200307E-2</v>
      </c>
      <c r="HQ309" s="5">
        <v>0.16689951778831999</v>
      </c>
      <c r="HR309" s="5">
        <v>-1.34910215247631E-2</v>
      </c>
      <c r="HS309" s="5">
        <v>0.16717509888964099</v>
      </c>
      <c r="HT309" s="5">
        <v>-0.112826872540747</v>
      </c>
      <c r="HU309" s="5">
        <v>0.13442110636565999</v>
      </c>
      <c r="HV309" s="5">
        <v>-0.401388628232977</v>
      </c>
      <c r="HW309" s="5">
        <v>0.64010924208744002</v>
      </c>
      <c r="HX309" s="5">
        <v>-0.13030938768252301</v>
      </c>
      <c r="HY309" s="5">
        <v>0.42332226000200202</v>
      </c>
      <c r="HZ309" s="5">
        <v>-0.178828552090222</v>
      </c>
      <c r="IA309" s="5">
        <v>0.199856044881978</v>
      </c>
      <c r="IB309" s="5">
        <v>0.16609661583504001</v>
      </c>
      <c r="IC309" s="5">
        <v>-0.25418586824733502</v>
      </c>
      <c r="ID309" s="5">
        <v>-0.144910392353305</v>
      </c>
      <c r="IE309" s="5">
        <v>0.42266094169780399</v>
      </c>
      <c r="IF309" s="5">
        <v>-0.36710687879676102</v>
      </c>
      <c r="IG309" s="5">
        <v>0.62954385975481097</v>
      </c>
      <c r="IH309" s="5">
        <v>-0.48570296553864301</v>
      </c>
      <c r="II309" s="5">
        <v>0.62004203556985205</v>
      </c>
      <c r="IJ309" s="5">
        <v>0.17670375387189899</v>
      </c>
      <c r="IK309" s="5">
        <v>-6.49595241695506E-2</v>
      </c>
      <c r="IL309" s="5">
        <v>-0.184599063438939</v>
      </c>
      <c r="IM309" s="5">
        <v>0.41462071001865802</v>
      </c>
      <c r="IN309" s="5">
        <v>-0.122480760582723</v>
      </c>
      <c r="IO309" s="5">
        <v>0.41741987288068799</v>
      </c>
      <c r="IP309" s="5">
        <v>-0.25791811894356098</v>
      </c>
      <c r="IQ309" s="5">
        <v>0.48320866711733501</v>
      </c>
      <c r="IR309" s="5">
        <v>0.19098352500454899</v>
      </c>
      <c r="IS309" s="5">
        <v>-0.124456206453414</v>
      </c>
      <c r="IT309" s="5">
        <v>-0.35840935913849697</v>
      </c>
      <c r="IU309" s="5">
        <v>0.59377870690944701</v>
      </c>
      <c r="IV309" s="5">
        <v>-0.38775959513029701</v>
      </c>
      <c r="IW309" s="5">
        <v>0.65519533541198705</v>
      </c>
      <c r="IX309" s="5">
        <v>-0.279809573388757</v>
      </c>
      <c r="IY309" s="5">
        <v>0.48291339430736202</v>
      </c>
      <c r="IZ309" s="5">
        <v>-0.10737059996113101</v>
      </c>
      <c r="JA309" s="5">
        <v>0.117643037852113</v>
      </c>
      <c r="JB309" s="5">
        <v>-0.299796346014431</v>
      </c>
      <c r="JC309" s="5">
        <v>0.32560091676338898</v>
      </c>
      <c r="JD309" s="5">
        <v>-0.17310581761128899</v>
      </c>
      <c r="JE309" s="5">
        <v>0.38576392735272402</v>
      </c>
      <c r="JF309" s="5">
        <v>-9.3552649626103407E-2</v>
      </c>
      <c r="JG309" s="5">
        <v>0.24982350927151101</v>
      </c>
      <c r="JH309" s="5">
        <v>-7.5531414330102506E-2</v>
      </c>
      <c r="JI309" s="5">
        <v>9.6399650521742999E-2</v>
      </c>
      <c r="JJ309" s="5">
        <v>-0.30747380965222199</v>
      </c>
      <c r="JK309" s="5">
        <v>0.57069304227344098</v>
      </c>
      <c r="JL309" s="5">
        <v>-0.358157287107776</v>
      </c>
      <c r="JM309" s="5">
        <v>0.55859725397022897</v>
      </c>
      <c r="JN309" s="5">
        <v>-0.23138035561165901</v>
      </c>
      <c r="JO309" s="5">
        <v>0.43897024423975201</v>
      </c>
      <c r="JP309" s="5">
        <v>-0.13052834304798899</v>
      </c>
      <c r="JQ309" s="5">
        <v>0.44236396127147098</v>
      </c>
      <c r="JR309" s="5">
        <v>0.15659886551105501</v>
      </c>
      <c r="JS309" s="5">
        <v>8.1057237322791006E-2</v>
      </c>
      <c r="JT309" s="5">
        <v>0.296478008176634</v>
      </c>
      <c r="JU309" s="5">
        <v>-0.16725536300997301</v>
      </c>
      <c r="JV309" s="5">
        <v>6.8107251978890601E-2</v>
      </c>
      <c r="JW309" s="5">
        <v>0.11479738969516801</v>
      </c>
      <c r="JX309" s="5">
        <v>-0.147495538898648</v>
      </c>
      <c r="JY309" s="5">
        <v>0.15947507558419599</v>
      </c>
      <c r="JZ309" s="5">
        <v>-0.54146016339953695</v>
      </c>
      <c r="KA309" s="5">
        <v>0.65356788051813597</v>
      </c>
      <c r="KB309" s="5">
        <v>-0.105783629539066</v>
      </c>
      <c r="KC309" s="5">
        <v>8.8884022827200204E-2</v>
      </c>
      <c r="KD309" s="5">
        <v>-5.3540576269807502E-2</v>
      </c>
      <c r="KE309" s="5">
        <v>0.105552859201691</v>
      </c>
      <c r="KF309" s="5">
        <v>-1.82052185014825E-2</v>
      </c>
      <c r="KG309" s="5">
        <v>0.13508413290684201</v>
      </c>
      <c r="KH309" s="5">
        <v>-6.2662826251741605E-2</v>
      </c>
      <c r="KI309" s="5">
        <v>0.109078368530226</v>
      </c>
      <c r="KJ309" s="5">
        <v>-0.29356150331327402</v>
      </c>
      <c r="KK309" s="5">
        <v>0.481835163654313</v>
      </c>
      <c r="KL309" s="5">
        <v>0.151691197756081</v>
      </c>
      <c r="KM309" s="5">
        <v>-5.1751496100660502E-2</v>
      </c>
      <c r="KN309" s="5">
        <v>-0.15474481988041</v>
      </c>
      <c r="KO309" s="5">
        <v>0.18886036490505401</v>
      </c>
      <c r="KP309" s="5">
        <v>3.0297863596337599E-2</v>
      </c>
      <c r="KQ309" s="5">
        <v>-6.07305724415447E-2</v>
      </c>
      <c r="KR309" s="5">
        <v>-0.24918987913336901</v>
      </c>
      <c r="KS309" s="5">
        <v>0.45139569871185198</v>
      </c>
      <c r="KT309" s="5">
        <v>-0.37208923114186998</v>
      </c>
      <c r="KU309" s="5">
        <v>0.60209637463159504</v>
      </c>
      <c r="KV309" s="5">
        <v>-0.74716755632945797</v>
      </c>
      <c r="KW309" s="5">
        <v>1</v>
      </c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</row>
    <row r="310" spans="1:389" x14ac:dyDescent="0.45">
      <c r="A310" s="4" t="str">
        <f ca="1">"SEN / beta1dist in "&amp;CELL("address",'damages-1990'!$J$156)</f>
        <v>SEN / beta1dist in '[BHM betas v3pd.xlsx]damages-1990'!$J$156</v>
      </c>
      <c r="B310" s="6">
        <v>0.27762135337891303</v>
      </c>
      <c r="C310" s="5">
        <v>2.4940649095052499E-2</v>
      </c>
      <c r="D310" s="5">
        <v>0.66214170753176504</v>
      </c>
      <c r="E310" s="5">
        <v>-0.385227883953013</v>
      </c>
      <c r="F310" s="5">
        <v>0.18917150659979001</v>
      </c>
      <c r="G310" s="5">
        <v>3.5645640806280798E-2</v>
      </c>
      <c r="H310" s="5">
        <v>-0.171447333923997</v>
      </c>
      <c r="I310" s="5">
        <v>0.179756516576565</v>
      </c>
      <c r="J310" s="5">
        <v>0.61503402519765304</v>
      </c>
      <c r="K310" s="5">
        <v>-0.34287603718599102</v>
      </c>
      <c r="L310" s="5">
        <v>0.37332437824966702</v>
      </c>
      <c r="M310" s="5">
        <v>-3.5425952032033699E-2</v>
      </c>
      <c r="N310" s="5">
        <v>-9.0602539537708901E-2</v>
      </c>
      <c r="O310" s="5">
        <v>0.13692898013861399</v>
      </c>
      <c r="P310" s="5">
        <v>0.42102323922290102</v>
      </c>
      <c r="Q310" s="5">
        <v>-0.241900985645112</v>
      </c>
      <c r="R310" s="5">
        <v>0.53797503922529299</v>
      </c>
      <c r="S310" s="5">
        <v>-0.26582323865953</v>
      </c>
      <c r="T310" s="5">
        <v>8.2664829365220099E-2</v>
      </c>
      <c r="U310" s="5">
        <v>-9.2543156375658603E-2</v>
      </c>
      <c r="V310" s="5">
        <v>0.236770098681194</v>
      </c>
      <c r="W310" s="5">
        <v>0.12512816307980701</v>
      </c>
      <c r="X310" s="5">
        <v>0.58189528350592001</v>
      </c>
      <c r="Y310" s="5">
        <v>-0.31012990246490302</v>
      </c>
      <c r="Z310" s="5">
        <v>3.4169263678294898E-2</v>
      </c>
      <c r="AA310" s="5">
        <v>4.5593263234920203E-2</v>
      </c>
      <c r="AB310" s="5">
        <v>0.57931447500299804</v>
      </c>
      <c r="AC310" s="5">
        <v>-0.39620988696477399</v>
      </c>
      <c r="AD310" s="5">
        <v>0.70680749319076996</v>
      </c>
      <c r="AE310" s="5">
        <v>-0.45963463595459902</v>
      </c>
      <c r="AF310" s="5">
        <v>0.33452612400763498</v>
      </c>
      <c r="AG310" s="5">
        <v>-0.10597059231267</v>
      </c>
      <c r="AH310" s="5">
        <v>0.19876604630875</v>
      </c>
      <c r="AI310" s="5">
        <v>-2.5792220989207401E-2</v>
      </c>
      <c r="AJ310" s="5">
        <v>0.52243519097671798</v>
      </c>
      <c r="AK310" s="5">
        <v>-0.26230791438142598</v>
      </c>
      <c r="AL310" s="5">
        <v>0.187690031505549</v>
      </c>
      <c r="AM310" s="5">
        <v>-1.29289670142511E-2</v>
      </c>
      <c r="AN310" s="5">
        <v>0.137189711205599</v>
      </c>
      <c r="AO310" s="5">
        <v>-4.9267325700727803E-2</v>
      </c>
      <c r="AP310" s="5">
        <v>8.1679652104174692E-3</v>
      </c>
      <c r="AQ310" s="5">
        <v>1.39599011125157E-2</v>
      </c>
      <c r="AR310" s="5">
        <v>0.41544342787423</v>
      </c>
      <c r="AS310" s="5">
        <v>-0.16688994990290801</v>
      </c>
      <c r="AT310" s="5">
        <v>0.15900839466019301</v>
      </c>
      <c r="AU310" s="5">
        <v>-1.36223074857507E-2</v>
      </c>
      <c r="AV310" s="5">
        <v>0.52069702153555597</v>
      </c>
      <c r="AW310" s="5">
        <v>-0.27579824334875702</v>
      </c>
      <c r="AX310" s="5">
        <v>0.61417565712488698</v>
      </c>
      <c r="AY310" s="5">
        <v>-0.39684901535294997</v>
      </c>
      <c r="AZ310" s="5">
        <v>0.53508970261934696</v>
      </c>
      <c r="BA310" s="5">
        <v>-0.37041185110604402</v>
      </c>
      <c r="BB310" s="5">
        <v>0.51644512888385796</v>
      </c>
      <c r="BC310" s="5">
        <v>-0.235166922787511</v>
      </c>
      <c r="BD310" s="5">
        <v>0.15449622657954801</v>
      </c>
      <c r="BE310" s="5">
        <v>0.130859290440383</v>
      </c>
      <c r="BF310" s="5">
        <v>0.52278135432664097</v>
      </c>
      <c r="BG310" s="5">
        <v>-0.27983978088871198</v>
      </c>
      <c r="BH310" s="5">
        <v>0.624847549685421</v>
      </c>
      <c r="BI310" s="5">
        <v>-0.37615983644949602</v>
      </c>
      <c r="BJ310" s="5">
        <v>-0.29823967340149798</v>
      </c>
      <c r="BK310" s="5">
        <v>0.27990523150049501</v>
      </c>
      <c r="BL310" s="5">
        <v>4.4251953664744201E-2</v>
      </c>
      <c r="BM310" s="5">
        <v>-6.3636023174742595E-2</v>
      </c>
      <c r="BN310" s="5">
        <v>-0.103783701456519</v>
      </c>
      <c r="BO310" s="5">
        <v>0.20775294715270901</v>
      </c>
      <c r="BP310" s="5">
        <v>-0.15062756065125901</v>
      </c>
      <c r="BQ310" s="5">
        <v>0.31373477221171298</v>
      </c>
      <c r="BR310" s="5">
        <v>0.66421274293022003</v>
      </c>
      <c r="BS310" s="5">
        <v>-0.45040282881472299</v>
      </c>
      <c r="BT310" s="5">
        <v>0.66127052147186804</v>
      </c>
      <c r="BU310" s="5">
        <v>-0.44131639177967802</v>
      </c>
      <c r="BV310" s="5">
        <v>0.63475995017419495</v>
      </c>
      <c r="BW310" s="5">
        <v>-0.37668020123976098</v>
      </c>
      <c r="BX310" s="5">
        <v>0.51425176821253005</v>
      </c>
      <c r="BY310" s="5">
        <v>-0.284888563148741</v>
      </c>
      <c r="BZ310" s="5">
        <v>0.56476982312351898</v>
      </c>
      <c r="CA310" s="5">
        <v>-0.33839274476778503</v>
      </c>
      <c r="CB310" s="5">
        <v>0.24859331643519</v>
      </c>
      <c r="CC310" s="5">
        <v>-8.5982754865788893E-2</v>
      </c>
      <c r="CD310" s="5">
        <v>0.43110170814377402</v>
      </c>
      <c r="CE310" s="5">
        <v>-0.32135663747510301</v>
      </c>
      <c r="CF310" s="5">
        <v>0.54986593938365702</v>
      </c>
      <c r="CG310" s="5">
        <v>-0.34926935240859602</v>
      </c>
      <c r="CH310" s="5">
        <v>0.135040384758777</v>
      </c>
      <c r="CI310" s="5">
        <v>3.1521867566727098E-2</v>
      </c>
      <c r="CJ310" s="5">
        <v>7.8278222525784202E-2</v>
      </c>
      <c r="CK310" s="5">
        <v>0.126685833810846</v>
      </c>
      <c r="CL310" s="5">
        <v>8.5982064576030498E-2</v>
      </c>
      <c r="CM310" s="5">
        <v>-5.6774452151896401E-2</v>
      </c>
      <c r="CN310" s="5">
        <v>5.0108879686787303E-2</v>
      </c>
      <c r="CO310" s="5">
        <v>8.6463181120748495E-3</v>
      </c>
      <c r="CP310" s="5">
        <v>0.58190296922024698</v>
      </c>
      <c r="CQ310" s="5">
        <v>-0.336571650821403</v>
      </c>
      <c r="CR310" s="5">
        <v>0.43179074525913502</v>
      </c>
      <c r="CS310" s="5">
        <v>-0.232922644810344</v>
      </c>
      <c r="CT310" s="5">
        <v>3.17477235019245E-2</v>
      </c>
      <c r="CU310" s="5">
        <v>-5.9527224535157602E-3</v>
      </c>
      <c r="CV310" s="5">
        <v>0.59572255644045102</v>
      </c>
      <c r="CW310" s="5">
        <v>-0.391200066847533</v>
      </c>
      <c r="CX310" s="5">
        <v>0.53600539990579099</v>
      </c>
      <c r="CY310" s="5">
        <v>-0.27589569201554498</v>
      </c>
      <c r="CZ310" s="5">
        <v>0.49398076084378201</v>
      </c>
      <c r="DA310" s="5">
        <v>-0.28032757419913701</v>
      </c>
      <c r="DB310" s="5">
        <v>0.42709562001692503</v>
      </c>
      <c r="DC310" s="5">
        <v>-7.7509533427813498E-2</v>
      </c>
      <c r="DD310" s="5">
        <v>0.66884949600355303</v>
      </c>
      <c r="DE310" s="5">
        <v>-0.37774130503465098</v>
      </c>
      <c r="DF310" s="5">
        <v>0.61632912951653496</v>
      </c>
      <c r="DG310" s="5">
        <v>-0.39388852401138602</v>
      </c>
      <c r="DH310" s="5">
        <v>0.28281601873532303</v>
      </c>
      <c r="DI310" s="5">
        <v>-4.38593920070715E-2</v>
      </c>
      <c r="DJ310" s="5">
        <v>-2.87253026584262E-2</v>
      </c>
      <c r="DK310" s="5">
        <v>2.6137463753615201E-2</v>
      </c>
      <c r="DL310" s="5">
        <v>0.57387946442964699</v>
      </c>
      <c r="DM310" s="5">
        <v>-0.29818623605343397</v>
      </c>
      <c r="DN310" s="5">
        <v>-0.13126781975134499</v>
      </c>
      <c r="DO310" s="5">
        <v>0.101477149161527</v>
      </c>
      <c r="DP310" s="5">
        <v>0.29885348667720502</v>
      </c>
      <c r="DQ310" s="5">
        <v>-5.7440249493841501E-2</v>
      </c>
      <c r="DR310" s="5">
        <v>8.4253171071055094E-2</v>
      </c>
      <c r="DS310" s="5">
        <v>7.28762229426939E-2</v>
      </c>
      <c r="DT310" s="5">
        <v>0.22792145515211801</v>
      </c>
      <c r="DU310" s="5">
        <v>-6.3294773824710701E-2</v>
      </c>
      <c r="DV310" s="5">
        <v>0.455849579702578</v>
      </c>
      <c r="DW310" s="5">
        <v>-0.25444129436087198</v>
      </c>
      <c r="DX310" s="5">
        <v>1.1211564609703601E-3</v>
      </c>
      <c r="DY310" s="5">
        <v>1.1933860396320399E-2</v>
      </c>
      <c r="DZ310" s="5">
        <v>-3.3863156967042598E-3</v>
      </c>
      <c r="EA310" s="5">
        <v>4.999642416208E-2</v>
      </c>
      <c r="EB310" s="5">
        <v>0.72417532729761303</v>
      </c>
      <c r="EC310" s="5">
        <v>-0.48371025284029501</v>
      </c>
      <c r="ED310" s="5">
        <v>0.70418039500594998</v>
      </c>
      <c r="EE310" s="5">
        <v>-0.45591172076163</v>
      </c>
      <c r="EF310" s="5">
        <v>0.42078803537431803</v>
      </c>
      <c r="EG310" s="5">
        <v>-0.235100058353131</v>
      </c>
      <c r="EH310" s="5">
        <v>0.83829497570432898</v>
      </c>
      <c r="EI310" s="5">
        <v>-0.58135256612182995</v>
      </c>
      <c r="EJ310" s="5">
        <v>0.81327079393189206</v>
      </c>
      <c r="EK310" s="5">
        <v>-0.54623717555842499</v>
      </c>
      <c r="EL310" s="5">
        <v>0.63959254019575995</v>
      </c>
      <c r="EM310" s="5">
        <v>-0.43786659332448502</v>
      </c>
      <c r="EN310" s="5">
        <v>0.165141530316714</v>
      </c>
      <c r="EO310" s="5">
        <v>8.9240134861148304E-2</v>
      </c>
      <c r="EP310" s="5">
        <v>0.56202619387018105</v>
      </c>
      <c r="EQ310" s="5">
        <v>-0.38689483051423601</v>
      </c>
      <c r="ER310" s="5">
        <v>0.46750188687842398</v>
      </c>
      <c r="ES310" s="5">
        <v>-0.198486183711335</v>
      </c>
      <c r="ET310" s="5">
        <v>0.48311410457274701</v>
      </c>
      <c r="EU310" s="5">
        <v>-0.302133017295725</v>
      </c>
      <c r="EV310" s="5">
        <v>0.52910217502587897</v>
      </c>
      <c r="EW310" s="5">
        <v>-0.35277279570151698</v>
      </c>
      <c r="EX310" s="5">
        <v>0.229913602692009</v>
      </c>
      <c r="EY310" s="5">
        <v>-6.3839602967831893E-2</v>
      </c>
      <c r="EZ310" s="5">
        <v>0.52230884680254297</v>
      </c>
      <c r="FA310" s="5">
        <v>-0.26717656396323097</v>
      </c>
      <c r="FB310" s="5">
        <v>0.16395233615225699</v>
      </c>
      <c r="FC310" s="5">
        <v>1.1859670930016599E-2</v>
      </c>
      <c r="FD310" s="5">
        <v>0.52630829333064799</v>
      </c>
      <c r="FE310" s="5">
        <v>-0.32426414714013702</v>
      </c>
      <c r="FF310" s="5">
        <v>0.15069454422217199</v>
      </c>
      <c r="FG310" s="5">
        <v>-8.7688273521644104E-3</v>
      </c>
      <c r="FH310" s="5">
        <v>0.46782767948867998</v>
      </c>
      <c r="FI310" s="5">
        <v>-0.22739569514910801</v>
      </c>
      <c r="FJ310" s="5">
        <v>0.56506681075138598</v>
      </c>
      <c r="FK310" s="5">
        <v>-0.24930372529014599</v>
      </c>
      <c r="FL310" s="5">
        <v>-3.1547645191916003E-2</v>
      </c>
      <c r="FM310" s="5">
        <v>5.1864849859618999E-2</v>
      </c>
      <c r="FN310" s="5">
        <v>0.48137165943593202</v>
      </c>
      <c r="FO310" s="5">
        <v>-0.16598663551987999</v>
      </c>
      <c r="FP310" s="5">
        <v>0.49732946542621298</v>
      </c>
      <c r="FQ310" s="5">
        <v>-0.189108923944105</v>
      </c>
      <c r="FR310" s="5">
        <v>-0.118912928296629</v>
      </c>
      <c r="FS310" s="5">
        <v>0.1215897389234</v>
      </c>
      <c r="FT310" s="5">
        <v>0.39056216880698902</v>
      </c>
      <c r="FU310" s="5">
        <v>-4.6761927553034703E-2</v>
      </c>
      <c r="FV310" s="5">
        <v>0.19387748424343099</v>
      </c>
      <c r="FW310" s="5">
        <v>4.2318868312666298E-2</v>
      </c>
      <c r="FX310" s="5">
        <v>0.50635036526204802</v>
      </c>
      <c r="FY310" s="5">
        <v>-0.30992906786587798</v>
      </c>
      <c r="FZ310" s="5">
        <v>0.484955124784548</v>
      </c>
      <c r="GA310" s="5">
        <v>-0.122260371800453</v>
      </c>
      <c r="GB310" s="5">
        <v>0.13410230820676899</v>
      </c>
      <c r="GC310" s="5">
        <v>9.6026447337145299E-2</v>
      </c>
      <c r="GD310" s="5">
        <v>-0.176997566264712</v>
      </c>
      <c r="GE310" s="5">
        <v>0.18949841060248501</v>
      </c>
      <c r="GF310" s="5">
        <v>0.40893201016036101</v>
      </c>
      <c r="GG310" s="5">
        <v>-0.19179590227700399</v>
      </c>
      <c r="GH310" s="5">
        <v>-0.36955259631982001</v>
      </c>
      <c r="GI310" s="5">
        <v>0.34225543495059502</v>
      </c>
      <c r="GJ310" s="5">
        <v>0.47205169915887801</v>
      </c>
      <c r="GK310" s="5">
        <v>-0.30439780670750799</v>
      </c>
      <c r="GL310" s="5">
        <v>0.513921411067915</v>
      </c>
      <c r="GM310" s="5">
        <v>-0.32572792702987402</v>
      </c>
      <c r="GN310" s="5">
        <v>0.18091215038595199</v>
      </c>
      <c r="GO310" s="5">
        <v>4.6675341847701203E-2</v>
      </c>
      <c r="GP310" s="5">
        <v>0.57798063893751095</v>
      </c>
      <c r="GQ310" s="5">
        <v>-0.28607074737105498</v>
      </c>
      <c r="GR310" s="5">
        <v>0.56750460645218304</v>
      </c>
      <c r="GS310" s="5">
        <v>-0.43002727494047299</v>
      </c>
      <c r="GT310" s="5">
        <v>0.31510398811770701</v>
      </c>
      <c r="GU310" s="5">
        <v>1.7152421291517801E-2</v>
      </c>
      <c r="GV310" s="5">
        <v>0.56356827858044001</v>
      </c>
      <c r="GW310" s="5">
        <v>-0.42834989280336999</v>
      </c>
      <c r="GX310" s="5">
        <v>0.40495122669688299</v>
      </c>
      <c r="GY310" s="5">
        <v>-0.14597369371524799</v>
      </c>
      <c r="GZ310" s="5">
        <v>5.0405366524470703E-2</v>
      </c>
      <c r="HA310" s="5">
        <v>-6.4104635157938003E-2</v>
      </c>
      <c r="HB310" s="5">
        <v>0.465252199021644</v>
      </c>
      <c r="HC310" s="5">
        <v>-0.25833290233540601</v>
      </c>
      <c r="HD310" s="5">
        <v>0.140396587505625</v>
      </c>
      <c r="HE310" s="5">
        <v>0.19626950565076201</v>
      </c>
      <c r="HF310" s="5">
        <v>6.72350791363833E-3</v>
      </c>
      <c r="HG310" s="5">
        <v>9.4464364289270908E-3</v>
      </c>
      <c r="HH310" s="5">
        <v>2.7609220522705199E-2</v>
      </c>
      <c r="HI310" s="5">
        <v>4.34206690403377E-2</v>
      </c>
      <c r="HJ310" s="5">
        <v>-1.05583734486523E-2</v>
      </c>
      <c r="HK310" s="5">
        <v>1.54207087164862E-2</v>
      </c>
      <c r="HL310" s="5">
        <v>0.55254143921102705</v>
      </c>
      <c r="HM310" s="5">
        <v>-0.32296976105957198</v>
      </c>
      <c r="HN310" s="5">
        <v>0.12952568851656199</v>
      </c>
      <c r="HO310" s="5">
        <v>4.8146432395000903E-3</v>
      </c>
      <c r="HP310" s="5">
        <v>0.40335557538499001</v>
      </c>
      <c r="HQ310" s="5">
        <v>-0.13353047875242899</v>
      </c>
      <c r="HR310" s="5">
        <v>0.49889969283270402</v>
      </c>
      <c r="HS310" s="5">
        <v>-0.227036984851366</v>
      </c>
      <c r="HT310" s="5">
        <v>0.179408623414758</v>
      </c>
      <c r="HU310" s="5">
        <v>-2.7237523626033201E-2</v>
      </c>
      <c r="HV310" s="5">
        <v>0.61045744098086396</v>
      </c>
      <c r="HW310" s="5">
        <v>-0.34693789514263101</v>
      </c>
      <c r="HX310" s="5">
        <v>0.54936385282023603</v>
      </c>
      <c r="HY310" s="5">
        <v>-0.345396204973272</v>
      </c>
      <c r="HZ310" s="5">
        <v>0.118012915782752</v>
      </c>
      <c r="IA310" s="5">
        <v>-6.1810679015618097E-2</v>
      </c>
      <c r="IB310" s="5">
        <v>-0.21375239356087899</v>
      </c>
      <c r="IC310" s="5">
        <v>0.18896036270961999</v>
      </c>
      <c r="ID310" s="5">
        <v>0.60045382162458205</v>
      </c>
      <c r="IE310" s="5">
        <v>-0.35253217488376998</v>
      </c>
      <c r="IF310" s="5">
        <v>0.71164649184597295</v>
      </c>
      <c r="IG310" s="5">
        <v>-0.45304878823924899</v>
      </c>
      <c r="IH310" s="5">
        <v>0.467946173474377</v>
      </c>
      <c r="II310" s="5">
        <v>-0.27789480144703799</v>
      </c>
      <c r="IJ310" s="5">
        <v>9.08975681613583E-2</v>
      </c>
      <c r="IK310" s="5">
        <v>1.6610609568689001E-2</v>
      </c>
      <c r="IL310" s="5">
        <v>0.61404282181859904</v>
      </c>
      <c r="IM310" s="5">
        <v>-0.367275479838515</v>
      </c>
      <c r="IN310" s="5">
        <v>0.52220299002263904</v>
      </c>
      <c r="IO310" s="5">
        <v>-0.28680252672774798</v>
      </c>
      <c r="IP310" s="5">
        <v>0.60469634626652202</v>
      </c>
      <c r="IQ310" s="5">
        <v>-0.30813781651717298</v>
      </c>
      <c r="IR310" s="5">
        <v>0.22935118399181501</v>
      </c>
      <c r="IS310" s="5">
        <v>8.5709929238681499E-3</v>
      </c>
      <c r="IT310" s="5">
        <v>0.51864711506540195</v>
      </c>
      <c r="IU310" s="5">
        <v>-0.26275794890148801</v>
      </c>
      <c r="IV310" s="5">
        <v>0.60631126976181804</v>
      </c>
      <c r="IW310" s="5">
        <v>-0.40021351569191799</v>
      </c>
      <c r="IX310" s="5">
        <v>0.61639622546446904</v>
      </c>
      <c r="IY310" s="5">
        <v>-0.40065406989587199</v>
      </c>
      <c r="IZ310" s="5">
        <v>4.7308496075700202E-2</v>
      </c>
      <c r="JA310" s="5">
        <v>1.4698413232324299E-2</v>
      </c>
      <c r="JB310" s="5">
        <v>-3.88855233569411E-2</v>
      </c>
      <c r="JC310" s="5">
        <v>-1.37291438611964E-2</v>
      </c>
      <c r="JD310" s="5">
        <v>0.29658171427373797</v>
      </c>
      <c r="JE310" s="5">
        <v>1.5077565203015E-2</v>
      </c>
      <c r="JF310" s="5">
        <v>0.26761249256340602</v>
      </c>
      <c r="JG310" s="5">
        <v>-0.159753138844029</v>
      </c>
      <c r="JH310" s="5">
        <v>0.18824678013433499</v>
      </c>
      <c r="JI310" s="5">
        <v>-0.14838195028415599</v>
      </c>
      <c r="JJ310" s="5">
        <v>0.67901480504169298</v>
      </c>
      <c r="JK310" s="5">
        <v>-0.37634088518009901</v>
      </c>
      <c r="JL310" s="5">
        <v>0.56752294572783901</v>
      </c>
      <c r="JM310" s="5">
        <v>-0.27685220968237101</v>
      </c>
      <c r="JN310" s="5">
        <v>0.56051399767217802</v>
      </c>
      <c r="JO310" s="5">
        <v>-0.36679379233820097</v>
      </c>
      <c r="JP310" s="5">
        <v>0.50107820932597902</v>
      </c>
      <c r="JQ310" s="5">
        <v>-0.22662508501252299</v>
      </c>
      <c r="JR310" s="5">
        <v>0.413741726362712</v>
      </c>
      <c r="JS310" s="5">
        <v>-0.14826741910170499</v>
      </c>
      <c r="JT310" s="5">
        <v>0.132669093620954</v>
      </c>
      <c r="JU310" s="5">
        <v>6.9302677140042998E-2</v>
      </c>
      <c r="JV310" s="5">
        <v>0.47439949338946302</v>
      </c>
      <c r="JW310" s="5">
        <v>-0.21622512067241301</v>
      </c>
      <c r="JX310" s="5">
        <v>7.2042253564498504E-2</v>
      </c>
      <c r="JY310" s="5">
        <v>-2.84678791640708E-2</v>
      </c>
      <c r="JZ310" s="5">
        <v>0.53168524180363397</v>
      </c>
      <c r="KA310" s="5">
        <v>-0.324460740436402</v>
      </c>
      <c r="KB310" s="5">
        <v>-3.7711390562742697E-2</v>
      </c>
      <c r="KC310" s="5">
        <v>6.7096764368056699E-2</v>
      </c>
      <c r="KD310" s="5">
        <v>0.33428574938063099</v>
      </c>
      <c r="KE310" s="5">
        <v>-0.114828238289496</v>
      </c>
      <c r="KF310" s="5">
        <v>0.51638832198572904</v>
      </c>
      <c r="KG310" s="5">
        <v>-0.30716525989007198</v>
      </c>
      <c r="KH310" s="5">
        <v>0.35115823751090702</v>
      </c>
      <c r="KI310" s="5">
        <v>-6.16028481360414E-3</v>
      </c>
      <c r="KJ310" s="5">
        <v>0.55818500278822702</v>
      </c>
      <c r="KK310" s="5">
        <v>-0.29345276873263698</v>
      </c>
      <c r="KL310" s="5">
        <v>0.178218762498842</v>
      </c>
      <c r="KM310" s="5">
        <v>-1.05514641120009E-2</v>
      </c>
      <c r="KN310" s="5">
        <v>0.121255598395221</v>
      </c>
      <c r="KO310" s="5">
        <v>-1.9090096444703601E-2</v>
      </c>
      <c r="KP310" s="5">
        <v>-0.29697920833220298</v>
      </c>
      <c r="KQ310" s="5">
        <v>0.228291239865722</v>
      </c>
      <c r="KR310" s="5">
        <v>0.55705124065169598</v>
      </c>
      <c r="KS310" s="5">
        <v>-0.31060383733500901</v>
      </c>
      <c r="KT310" s="5">
        <v>0.66395225699857796</v>
      </c>
      <c r="KU310" s="5">
        <v>-0.39522338231799498</v>
      </c>
      <c r="KV310" s="5">
        <v>0.73008509211953498</v>
      </c>
      <c r="KW310" s="5">
        <v>-0.46387485637889198</v>
      </c>
      <c r="KX310" s="5">
        <v>1</v>
      </c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</row>
    <row r="311" spans="1:389" x14ac:dyDescent="0.45">
      <c r="A311" s="4" t="str">
        <f ca="1">"SEN / beta2dist in "&amp;CELL("address",'damages-1990'!$K$156)</f>
        <v>SEN / beta2dist in '[BHM betas v3pd.xlsx]damages-1990'!$K$156</v>
      </c>
      <c r="B311" s="6">
        <v>-0.15521305911525299</v>
      </c>
      <c r="C311" s="5">
        <v>0.298978866333935</v>
      </c>
      <c r="D311" s="5">
        <v>-0.32798126759523599</v>
      </c>
      <c r="E311" s="5">
        <v>0.59813692095808701</v>
      </c>
      <c r="F311" s="5">
        <v>-5.0331653166996199E-2</v>
      </c>
      <c r="G311" s="5">
        <v>6.8114952777425894E-2</v>
      </c>
      <c r="H311" s="5">
        <v>0.101596962340798</v>
      </c>
      <c r="I311" s="5">
        <v>-0.19730887878189499</v>
      </c>
      <c r="J311" s="5">
        <v>-0.28189111094425601</v>
      </c>
      <c r="K311" s="5">
        <v>0.48389286832817702</v>
      </c>
      <c r="L311" s="5">
        <v>-5.5070134156778798E-2</v>
      </c>
      <c r="M311" s="5">
        <v>0.107296826925429</v>
      </c>
      <c r="N311" s="5">
        <v>5.2484502673744202E-2</v>
      </c>
      <c r="O311" s="5">
        <v>-0.115783375810095</v>
      </c>
      <c r="P311" s="5">
        <v>-0.41213797946215402</v>
      </c>
      <c r="Q311" s="5">
        <v>0.52086668354599497</v>
      </c>
      <c r="R311" s="5">
        <v>-0.148102811144843</v>
      </c>
      <c r="S311" s="5">
        <v>0.37569891216481499</v>
      </c>
      <c r="T311" s="5">
        <v>-0.20608743084119699</v>
      </c>
      <c r="U311" s="5">
        <v>0.207951342019222</v>
      </c>
      <c r="V311" s="5">
        <v>-3.2635179257919998E-2</v>
      </c>
      <c r="W311" s="5">
        <v>3.38097682386981E-2</v>
      </c>
      <c r="X311" s="5">
        <v>-0.26814187442663101</v>
      </c>
      <c r="Y311" s="5">
        <v>0.495120845418969</v>
      </c>
      <c r="Z311" s="5">
        <v>-5.0366369763955199E-2</v>
      </c>
      <c r="AA311" s="5">
        <v>6.7508341829259202E-2</v>
      </c>
      <c r="AB311" s="5">
        <v>-0.30584183420953598</v>
      </c>
      <c r="AC311" s="5">
        <v>0.59941270469762997</v>
      </c>
      <c r="AD311" s="5">
        <v>-0.48779507630209701</v>
      </c>
      <c r="AE311" s="5">
        <v>0.72662773777834699</v>
      </c>
      <c r="AF311" s="5">
        <v>-0.12738915037262399</v>
      </c>
      <c r="AG311" s="5">
        <v>0.32039790502020599</v>
      </c>
      <c r="AH311" s="5">
        <v>-0.10777347304148201</v>
      </c>
      <c r="AI311" s="5">
        <v>0.12747380808571299</v>
      </c>
      <c r="AJ311" s="5">
        <v>-0.256894224834878</v>
      </c>
      <c r="AK311" s="5">
        <v>0.43340941316512999</v>
      </c>
      <c r="AL311" s="5">
        <v>0.24498834242040299</v>
      </c>
      <c r="AM311" s="5">
        <v>-0.19420784377486</v>
      </c>
      <c r="AN311" s="5">
        <v>-0.168922380942199</v>
      </c>
      <c r="AO311" s="5">
        <v>0.19360226576617701</v>
      </c>
      <c r="AP311" s="5">
        <v>-0.18418223693868899</v>
      </c>
      <c r="AQ311" s="5">
        <v>0.18547139227096701</v>
      </c>
      <c r="AR311" s="5">
        <v>-6.23407456576077E-2</v>
      </c>
      <c r="AS311" s="5">
        <v>0.20543928371329301</v>
      </c>
      <c r="AT311" s="5">
        <v>0.19260557737377201</v>
      </c>
      <c r="AU311" s="5">
        <v>-0.10309719044266701</v>
      </c>
      <c r="AV311" s="5">
        <v>-0.12442527434985701</v>
      </c>
      <c r="AW311" s="5">
        <v>0.41049894802907899</v>
      </c>
      <c r="AX311" s="5">
        <v>-0.22542479452018599</v>
      </c>
      <c r="AY311" s="5">
        <v>0.52408114319868404</v>
      </c>
      <c r="AZ311" s="5">
        <v>-0.48656624806436999</v>
      </c>
      <c r="BA311" s="5">
        <v>0.61070837995896599</v>
      </c>
      <c r="BB311" s="5">
        <v>-9.5827619714682899E-2</v>
      </c>
      <c r="BC311" s="5">
        <v>0.34267935687493101</v>
      </c>
      <c r="BD311" s="5">
        <v>-0.116090137892862</v>
      </c>
      <c r="BE311" s="5">
        <v>0.20986788197824299</v>
      </c>
      <c r="BF311" s="5">
        <v>-0.24636754168340599</v>
      </c>
      <c r="BG311" s="5">
        <v>0.428467872399243</v>
      </c>
      <c r="BH311" s="5">
        <v>-0.28165691910576302</v>
      </c>
      <c r="BI311" s="5">
        <v>0.58102485087844802</v>
      </c>
      <c r="BJ311" s="5">
        <v>6.87029810510095E-3</v>
      </c>
      <c r="BK311" s="5">
        <v>-0.20497758126705601</v>
      </c>
      <c r="BL311" s="5">
        <v>-0.171902256113969</v>
      </c>
      <c r="BM311" s="5">
        <v>0.14277652705459001</v>
      </c>
      <c r="BN311" s="5">
        <v>1.56447140421908E-2</v>
      </c>
      <c r="BO311" s="5">
        <v>-7.6004223104776295E-2</v>
      </c>
      <c r="BP311" s="5">
        <v>6.2840048624313305E-2</v>
      </c>
      <c r="BQ311" s="5">
        <v>-0.21342413835488999</v>
      </c>
      <c r="BR311" s="5">
        <v>-0.45066769725891298</v>
      </c>
      <c r="BS311" s="5">
        <v>0.71065745358444599</v>
      </c>
      <c r="BT311" s="5">
        <v>-0.27868880311605798</v>
      </c>
      <c r="BU311" s="5">
        <v>0.62204189683326205</v>
      </c>
      <c r="BV311" s="5">
        <v>-0.262297441730653</v>
      </c>
      <c r="BW311" s="5">
        <v>0.54683258126016698</v>
      </c>
      <c r="BX311" s="5">
        <v>-0.14433020419456399</v>
      </c>
      <c r="BY311" s="5">
        <v>0.41804281412972799</v>
      </c>
      <c r="BZ311" s="5">
        <v>-0.221179731365994</v>
      </c>
      <c r="CA311" s="5">
        <v>0.48957868385887399</v>
      </c>
      <c r="CB311" s="5">
        <v>8.0214241732405794E-2</v>
      </c>
      <c r="CC311" s="5">
        <v>0.104046712137048</v>
      </c>
      <c r="CD311" s="5">
        <v>-0.31128540560644702</v>
      </c>
      <c r="CE311" s="5">
        <v>0.51090132516051201</v>
      </c>
      <c r="CF311" s="5">
        <v>-0.394632013642227</v>
      </c>
      <c r="CG311" s="5">
        <v>0.54034210584519904</v>
      </c>
      <c r="CH311" s="5">
        <v>0.30002357943386598</v>
      </c>
      <c r="CI311" s="5">
        <v>-0.243086446314628</v>
      </c>
      <c r="CJ311" s="5">
        <v>0.127050082085085</v>
      </c>
      <c r="CK311" s="5">
        <v>-8.84203391233752E-2</v>
      </c>
      <c r="CL311" s="5">
        <v>-0.14673678478073801</v>
      </c>
      <c r="CM311" s="5">
        <v>0.154821287267183</v>
      </c>
      <c r="CN311" s="5">
        <v>-8.6304727569389603E-2</v>
      </c>
      <c r="CO311" s="5">
        <v>8.7162943456207703E-2</v>
      </c>
      <c r="CP311" s="5">
        <v>-0.49742633153624299</v>
      </c>
      <c r="CQ311" s="5">
        <v>0.61748929466542302</v>
      </c>
      <c r="CR311" s="5">
        <v>-0.38912849826210399</v>
      </c>
      <c r="CS311" s="5">
        <v>0.50061313834237797</v>
      </c>
      <c r="CT311" s="5">
        <v>-0.105279199158697</v>
      </c>
      <c r="CU311" s="5">
        <v>0.102342669352822</v>
      </c>
      <c r="CV311" s="5">
        <v>-0.39128842473498199</v>
      </c>
      <c r="CW311" s="5">
        <v>0.51701175465611304</v>
      </c>
      <c r="CX311" s="5">
        <v>-0.28018233834601702</v>
      </c>
      <c r="CY311" s="5">
        <v>0.50512736920541301</v>
      </c>
      <c r="CZ311" s="5">
        <v>-0.16969552295544499</v>
      </c>
      <c r="DA311" s="5">
        <v>0.39379531639899901</v>
      </c>
      <c r="DB311" s="5">
        <v>-0.124250370142289</v>
      </c>
      <c r="DC311" s="5">
        <v>0.237922081289906</v>
      </c>
      <c r="DD311" s="5">
        <v>-0.54646795088643596</v>
      </c>
      <c r="DE311" s="5">
        <v>0.68271465871670001</v>
      </c>
      <c r="DF311" s="5">
        <v>-0.41849041187216202</v>
      </c>
      <c r="DG311" s="5">
        <v>0.61856555819128001</v>
      </c>
      <c r="DH311" s="5">
        <v>-0.14272434898009401</v>
      </c>
      <c r="DI311" s="5">
        <v>0.26790080797041399</v>
      </c>
      <c r="DJ311" s="5">
        <v>-0.17847848280162901</v>
      </c>
      <c r="DK311" s="5">
        <v>0.17024337240614401</v>
      </c>
      <c r="DL311" s="5">
        <v>-0.308581951018153</v>
      </c>
      <c r="DM311" s="5">
        <v>0.55539513641230798</v>
      </c>
      <c r="DN311" s="5">
        <v>-0.130015889010066</v>
      </c>
      <c r="DO311" s="5">
        <v>8.4303346920201694E-2</v>
      </c>
      <c r="DP311" s="5">
        <v>0.127559025699268</v>
      </c>
      <c r="DQ311" s="5">
        <v>-5.6194393717764399E-2</v>
      </c>
      <c r="DR311" s="5">
        <v>-3.8434217306193598E-2</v>
      </c>
      <c r="DS311" s="5">
        <v>7.8539641895757004E-2</v>
      </c>
      <c r="DT311" s="5">
        <v>-0.123552464883409</v>
      </c>
      <c r="DU311" s="5">
        <v>0.19724136796524799</v>
      </c>
      <c r="DV311" s="5">
        <v>-0.14161617853936301</v>
      </c>
      <c r="DW311" s="5">
        <v>0.36233250423643798</v>
      </c>
      <c r="DX311" s="5">
        <v>-0.107473719836853</v>
      </c>
      <c r="DY311" s="5">
        <v>0.14611554184317299</v>
      </c>
      <c r="DZ311" s="5">
        <v>-4.3989417102432003E-2</v>
      </c>
      <c r="EA311" s="5">
        <v>2.6910586935691001E-2</v>
      </c>
      <c r="EB311" s="5">
        <v>-0.48637479756088398</v>
      </c>
      <c r="EC311" s="5">
        <v>0.72738947672530796</v>
      </c>
      <c r="ED311" s="5">
        <v>-0.43326522619165903</v>
      </c>
      <c r="EE311" s="5">
        <v>0.70274643536481796</v>
      </c>
      <c r="EF311" s="5">
        <v>-0.41316881338628098</v>
      </c>
      <c r="EG311" s="5">
        <v>0.51221762039954</v>
      </c>
      <c r="EH311" s="5">
        <v>-0.55954147317405301</v>
      </c>
      <c r="EI311" s="5">
        <v>0.83057563079761998</v>
      </c>
      <c r="EJ311" s="5">
        <v>-0.540083343607907</v>
      </c>
      <c r="EK311" s="5">
        <v>0.80422330844704004</v>
      </c>
      <c r="EL311" s="5">
        <v>-0.265776402391809</v>
      </c>
      <c r="EM311" s="5">
        <v>0.55092807538080801</v>
      </c>
      <c r="EN311" s="5">
        <v>0.115493986344259</v>
      </c>
      <c r="EO311" s="5">
        <v>-0.122125653006823</v>
      </c>
      <c r="EP311" s="5">
        <v>-0.462955273942738</v>
      </c>
      <c r="EQ311" s="5">
        <v>0.58430589034736402</v>
      </c>
      <c r="ER311" s="5">
        <v>-0.11500802713567</v>
      </c>
      <c r="ES311" s="5">
        <v>0.28983515299674401</v>
      </c>
      <c r="ET311" s="5">
        <v>-0.18919336409059001</v>
      </c>
      <c r="EU311" s="5">
        <v>0.41768543433323402</v>
      </c>
      <c r="EV311" s="5">
        <v>-0.31728086266077099</v>
      </c>
      <c r="EW311" s="5">
        <v>0.55711162877336695</v>
      </c>
      <c r="EX311" s="5">
        <v>8.2757748598940403E-2</v>
      </c>
      <c r="EY311" s="5">
        <v>0.109055083882466</v>
      </c>
      <c r="EZ311" s="5">
        <v>-0.21846113479578699</v>
      </c>
      <c r="FA311" s="5">
        <v>0.424319550952312</v>
      </c>
      <c r="FB311" s="5">
        <v>-8.9860019356876E-2</v>
      </c>
      <c r="FC311" s="5">
        <v>0.126847058403946</v>
      </c>
      <c r="FD311" s="5">
        <v>-0.232225837292341</v>
      </c>
      <c r="FE311" s="5">
        <v>0.38385343851630699</v>
      </c>
      <c r="FF311" s="5">
        <v>-9.8721819647912504E-2</v>
      </c>
      <c r="FG311" s="5">
        <v>0.119251926838966</v>
      </c>
      <c r="FH311" s="5">
        <v>8.1438062494090205E-2</v>
      </c>
      <c r="FI311" s="5">
        <v>7.3763997299391301E-2</v>
      </c>
      <c r="FJ311" s="5">
        <v>-0.31389635731440102</v>
      </c>
      <c r="FK311" s="5">
        <v>0.52042486157999501</v>
      </c>
      <c r="FL311" s="5">
        <v>-2.98245277905743E-2</v>
      </c>
      <c r="FM311" s="5">
        <v>7.0524135715800101E-2</v>
      </c>
      <c r="FN311" s="5">
        <v>-0.23144350194788901</v>
      </c>
      <c r="FO311" s="5">
        <v>0.35870808711853702</v>
      </c>
      <c r="FP311" s="5">
        <v>-0.183350337879159</v>
      </c>
      <c r="FQ311" s="5">
        <v>0.281853083608677</v>
      </c>
      <c r="FR311" s="5">
        <v>0.125478030963284</v>
      </c>
      <c r="FS311" s="5">
        <v>-0.171832787139546</v>
      </c>
      <c r="FT311" s="5">
        <v>-0.103315083060807</v>
      </c>
      <c r="FU311" s="5">
        <v>0.178415942871928</v>
      </c>
      <c r="FV311" s="5">
        <v>-3.04151770767578E-2</v>
      </c>
      <c r="FW311" s="5">
        <v>9.9327331426696794E-2</v>
      </c>
      <c r="FX311" s="5">
        <v>-0.241101541157454</v>
      </c>
      <c r="FY311" s="5">
        <v>0.38708309453606199</v>
      </c>
      <c r="FZ311" s="5">
        <v>-0.15520552980226801</v>
      </c>
      <c r="GA311" s="5">
        <v>0.24840808736196901</v>
      </c>
      <c r="GB311" s="5">
        <v>-7.5616654031855995E-2</v>
      </c>
      <c r="GC311" s="5">
        <v>0.10826128105544799</v>
      </c>
      <c r="GD311" s="5">
        <v>3.3567109294237001E-2</v>
      </c>
      <c r="GE311" s="5">
        <v>-2.9611844153364798E-2</v>
      </c>
      <c r="GF311" s="5">
        <v>-0.104565231684277</v>
      </c>
      <c r="GG311" s="5">
        <v>0.41464120802676102</v>
      </c>
      <c r="GH311" s="5">
        <v>0.30586305148944598</v>
      </c>
      <c r="GI311" s="5">
        <v>-0.460807441415926</v>
      </c>
      <c r="GJ311" s="5">
        <v>-0.112232946480987</v>
      </c>
      <c r="GK311" s="5">
        <v>0.33489840357409001</v>
      </c>
      <c r="GL311" s="5">
        <v>-0.50155212131730598</v>
      </c>
      <c r="GM311" s="5">
        <v>0.58292713122101303</v>
      </c>
      <c r="GN311" s="5">
        <v>-7.0876113801693896E-2</v>
      </c>
      <c r="GO311" s="5">
        <v>0.13593404213868901</v>
      </c>
      <c r="GP311" s="5">
        <v>-0.28361755679703299</v>
      </c>
      <c r="GQ311" s="5">
        <v>0.42310708944113101</v>
      </c>
      <c r="GR311" s="5">
        <v>-0.23207906853149801</v>
      </c>
      <c r="GS311" s="5">
        <v>0.50009820259557702</v>
      </c>
      <c r="GT311" s="5">
        <v>-7.8292746654578194E-2</v>
      </c>
      <c r="GU311" s="5">
        <v>8.8734269367912899E-2</v>
      </c>
      <c r="GV311" s="5">
        <v>-0.241348342510638</v>
      </c>
      <c r="GW311" s="5">
        <v>0.549858856553475</v>
      </c>
      <c r="GX311" s="5">
        <v>-0.10336345116199901</v>
      </c>
      <c r="GY311" s="5">
        <v>0.247049891461393</v>
      </c>
      <c r="GZ311" s="5">
        <v>-0.17883491962990899</v>
      </c>
      <c r="HA311" s="5">
        <v>0.14715348401016001</v>
      </c>
      <c r="HB311" s="5">
        <v>-7.6660935436826699E-2</v>
      </c>
      <c r="HC311" s="5">
        <v>0.328725571107711</v>
      </c>
      <c r="HD311" s="5">
        <v>-7.7985771083593197E-2</v>
      </c>
      <c r="HE311" s="5">
        <v>0.17252018673212099</v>
      </c>
      <c r="HF311" s="5">
        <v>-0.16794853537610799</v>
      </c>
      <c r="HG311" s="5">
        <v>0.16211016532627301</v>
      </c>
      <c r="HH311" s="5">
        <v>-5.36463003550397E-2</v>
      </c>
      <c r="HI311" s="5">
        <v>5.4481624449081202E-2</v>
      </c>
      <c r="HJ311" s="5">
        <v>-0.16877279189749</v>
      </c>
      <c r="HK311" s="5">
        <v>0.159471798559083</v>
      </c>
      <c r="HL311" s="5">
        <v>-0.364144923609176</v>
      </c>
      <c r="HM311" s="5">
        <v>0.59975475106024301</v>
      </c>
      <c r="HN311" s="5">
        <v>-0.114565124366159</v>
      </c>
      <c r="HO311" s="5">
        <v>0.135437105944021</v>
      </c>
      <c r="HP311" s="5">
        <v>4.8078896316703298E-2</v>
      </c>
      <c r="HQ311" s="5">
        <v>0.195087550993847</v>
      </c>
      <c r="HR311" s="5">
        <v>-7.5186344092276106E-2</v>
      </c>
      <c r="HS311" s="5">
        <v>0.26497539857149199</v>
      </c>
      <c r="HT311" s="5">
        <v>-0.13112338949572</v>
      </c>
      <c r="HU311" s="5">
        <v>0.16025304231947499</v>
      </c>
      <c r="HV311" s="5">
        <v>-0.34741989232023901</v>
      </c>
      <c r="HW311" s="5">
        <v>0.58158333714773702</v>
      </c>
      <c r="HX311" s="5">
        <v>-0.18876755335713799</v>
      </c>
      <c r="HY311" s="5">
        <v>0.50577500540878595</v>
      </c>
      <c r="HZ311" s="5">
        <v>-0.18302990733348701</v>
      </c>
      <c r="IA311" s="5">
        <v>0.19921682063758001</v>
      </c>
      <c r="IB311" s="5">
        <v>0.112752259514785</v>
      </c>
      <c r="IC311" s="5">
        <v>-0.18404550677795001</v>
      </c>
      <c r="ID311" s="5">
        <v>-0.15547800868248501</v>
      </c>
      <c r="IE311" s="5">
        <v>0.41640738417240902</v>
      </c>
      <c r="IF311" s="5">
        <v>-0.42659272259076803</v>
      </c>
      <c r="IG311" s="5">
        <v>0.68985380289640497</v>
      </c>
      <c r="IH311" s="5">
        <v>-0.41692522580250502</v>
      </c>
      <c r="II311" s="5">
        <v>0.53875777317925999</v>
      </c>
      <c r="IJ311" s="5">
        <v>0.15020893456515699</v>
      </c>
      <c r="IK311" s="5">
        <v>-4.15285936443794E-2</v>
      </c>
      <c r="IL311" s="5">
        <v>-0.165494423448521</v>
      </c>
      <c r="IM311" s="5">
        <v>0.39806360582307998</v>
      </c>
      <c r="IN311" s="5">
        <v>-5.3270771969024799E-2</v>
      </c>
      <c r="IO311" s="5">
        <v>0.30951737468931501</v>
      </c>
      <c r="IP311" s="5">
        <v>-0.29658327539810397</v>
      </c>
      <c r="IQ311" s="5">
        <v>0.506965737548004</v>
      </c>
      <c r="IR311" s="5">
        <v>1.7366901282765902E-2</v>
      </c>
      <c r="IS311" s="5">
        <v>3.7401151472322897E-2</v>
      </c>
      <c r="IT311" s="5">
        <v>-0.23501300636234901</v>
      </c>
      <c r="IU311" s="5">
        <v>0.46453479313818002</v>
      </c>
      <c r="IV311" s="5">
        <v>-0.354390777022765</v>
      </c>
      <c r="IW311" s="5">
        <v>0.61967783229611795</v>
      </c>
      <c r="IX311" s="5">
        <v>-0.37487347070613303</v>
      </c>
      <c r="IY311" s="5">
        <v>0.58602448996224799</v>
      </c>
      <c r="IZ311" s="5">
        <v>-5.6785590103449003E-2</v>
      </c>
      <c r="JA311" s="5">
        <v>6.9881040688746995E-2</v>
      </c>
      <c r="JB311" s="5">
        <v>-0.229125062814097</v>
      </c>
      <c r="JC311" s="5">
        <v>0.19911261035314701</v>
      </c>
      <c r="JD311" s="5">
        <v>-0.16358577581636499</v>
      </c>
      <c r="JE311" s="5">
        <v>0.35185688615621902</v>
      </c>
      <c r="JF311" s="5">
        <v>-4.1943799149171401E-2</v>
      </c>
      <c r="JG311" s="5">
        <v>0.19142583997066201</v>
      </c>
      <c r="JH311" s="5">
        <v>-0.16324505279163701</v>
      </c>
      <c r="JI311" s="5">
        <v>0.24072595453391701</v>
      </c>
      <c r="JJ311" s="5">
        <v>-0.36849609071730399</v>
      </c>
      <c r="JK311" s="5">
        <v>0.62799156684795499</v>
      </c>
      <c r="JL311" s="5">
        <v>-0.37674549782901201</v>
      </c>
      <c r="JM311" s="5">
        <v>0.57386104934231597</v>
      </c>
      <c r="JN311" s="5">
        <v>-0.29759145504922102</v>
      </c>
      <c r="JO311" s="5">
        <v>0.48799510620079101</v>
      </c>
      <c r="JP311" s="5">
        <v>-0.136862712939993</v>
      </c>
      <c r="JQ311" s="5">
        <v>0.42865520387644102</v>
      </c>
      <c r="JR311" s="5">
        <v>2.21197937701006E-2</v>
      </c>
      <c r="JS311" s="5">
        <v>0.21048358782725701</v>
      </c>
      <c r="JT311" s="5">
        <v>0.20135316364601599</v>
      </c>
      <c r="JU311" s="5">
        <v>-8.6417019383993293E-2</v>
      </c>
      <c r="JV311" s="5">
        <v>9.0896988607233904E-3</v>
      </c>
      <c r="JW311" s="5">
        <v>0.20095770108505001</v>
      </c>
      <c r="JX311" s="5">
        <v>-0.14941757502575101</v>
      </c>
      <c r="JY311" s="5">
        <v>0.150925539495713</v>
      </c>
      <c r="JZ311" s="5">
        <v>-0.51006209120652901</v>
      </c>
      <c r="KA311" s="5">
        <v>0.58918951996547597</v>
      </c>
      <c r="KB311" s="5">
        <v>-0.115225704312345</v>
      </c>
      <c r="KC311" s="5">
        <v>8.0975118185031503E-2</v>
      </c>
      <c r="KD311" s="5">
        <v>-0.172583531016681</v>
      </c>
      <c r="KE311" s="5">
        <v>0.26643140477641503</v>
      </c>
      <c r="KF311" s="5">
        <v>-0.105760489334858</v>
      </c>
      <c r="KG311" s="5">
        <v>0.22257538547014999</v>
      </c>
      <c r="KH311" s="5">
        <v>-6.8925762653402001E-2</v>
      </c>
      <c r="KI311" s="5">
        <v>0.12592509562144</v>
      </c>
      <c r="KJ311" s="5">
        <v>-0.27423143331385103</v>
      </c>
      <c r="KK311" s="5">
        <v>0.45846897418028398</v>
      </c>
      <c r="KL311" s="5">
        <v>0.137519599993145</v>
      </c>
      <c r="KM311" s="5">
        <v>-4.4272220156227497E-2</v>
      </c>
      <c r="KN311" s="5">
        <v>-0.143845709564907</v>
      </c>
      <c r="KO311" s="5">
        <v>0.16279482945791601</v>
      </c>
      <c r="KP311" s="5">
        <v>6.3730795893855094E-2</v>
      </c>
      <c r="KQ311" s="5">
        <v>-0.10126092541262099</v>
      </c>
      <c r="KR311" s="5">
        <v>-0.24618872161507299</v>
      </c>
      <c r="KS311" s="5">
        <v>0.48366856682931397</v>
      </c>
      <c r="KT311" s="5">
        <v>-0.36542485580840101</v>
      </c>
      <c r="KU311" s="5">
        <v>0.60310016967864899</v>
      </c>
      <c r="KV311" s="5">
        <v>-0.47473331612853797</v>
      </c>
      <c r="KW311" s="5">
        <v>0.71790182400786096</v>
      </c>
      <c r="KX311" s="5">
        <v>-0.73317051143912604</v>
      </c>
      <c r="KY311" s="5">
        <v>1</v>
      </c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</row>
    <row r="312" spans="1:389" x14ac:dyDescent="0.45">
      <c r="A312" s="4" t="str">
        <f ca="1">"SLB / beta1dist in "&amp;CELL("address",'damages-1990'!$J$157)</f>
        <v>SLB / beta1dist in '[BHM betas v3pd.xlsx]damages-1990'!$J$157</v>
      </c>
      <c r="B312" s="6">
        <v>7.4820879974482293E-2</v>
      </c>
      <c r="C312" s="5">
        <v>0.250265497606033</v>
      </c>
      <c r="D312" s="5">
        <v>0.46993329956439001</v>
      </c>
      <c r="E312" s="5">
        <v>-0.17909594566937501</v>
      </c>
      <c r="F312" s="5">
        <v>6.1475214741245399E-2</v>
      </c>
      <c r="G312" s="5">
        <v>0.13235922572374201</v>
      </c>
      <c r="H312" s="5">
        <v>7.6892411405732802E-2</v>
      </c>
      <c r="I312" s="5">
        <v>-0.104776113413105</v>
      </c>
      <c r="J312" s="5">
        <v>0.29645544401636498</v>
      </c>
      <c r="K312" s="5">
        <v>-2.3371818729983899E-2</v>
      </c>
      <c r="L312" s="5">
        <v>0.371126330913781</v>
      </c>
      <c r="M312" s="5">
        <v>-0.15113777648964699</v>
      </c>
      <c r="N312" s="5">
        <v>2.0105882608293399E-4</v>
      </c>
      <c r="O312" s="5">
        <v>-2.8823755195633901E-2</v>
      </c>
      <c r="P312" s="5">
        <v>0.170977867717751</v>
      </c>
      <c r="Q312" s="5">
        <v>-3.6437096734178401E-2</v>
      </c>
      <c r="R312" s="5">
        <v>0.48550272387689603</v>
      </c>
      <c r="S312" s="5">
        <v>-0.25771022990347903</v>
      </c>
      <c r="T312" s="5">
        <v>5.3069082949706602E-2</v>
      </c>
      <c r="U312" s="5">
        <v>-6.2795816792133294E-2</v>
      </c>
      <c r="V312" s="5">
        <v>6.80355235229778E-2</v>
      </c>
      <c r="W312" s="5">
        <v>0.25735352572472397</v>
      </c>
      <c r="X312" s="5">
        <v>0.48737884047800301</v>
      </c>
      <c r="Y312" s="5">
        <v>-0.238197784399416</v>
      </c>
      <c r="Z312" s="5">
        <v>5.8592301133464399E-2</v>
      </c>
      <c r="AA312" s="5">
        <v>-1.6707303516947799E-5</v>
      </c>
      <c r="AB312" s="5">
        <v>0.43546284431056598</v>
      </c>
      <c r="AC312" s="5">
        <v>-0.223224396116735</v>
      </c>
      <c r="AD312" s="5">
        <v>0.305003291015773</v>
      </c>
      <c r="AE312" s="5">
        <v>-4.4631722020524699E-2</v>
      </c>
      <c r="AF312" s="5">
        <v>0.29083525939127902</v>
      </c>
      <c r="AG312" s="5">
        <v>-8.7286236501206996E-2</v>
      </c>
      <c r="AH312" s="5">
        <v>2.0600865839361798E-2</v>
      </c>
      <c r="AI312" s="5">
        <v>0.134614716128897</v>
      </c>
      <c r="AJ312" s="5">
        <v>0.29034333601329199</v>
      </c>
      <c r="AK312" s="5">
        <v>-2.9324351436534401E-2</v>
      </c>
      <c r="AL312" s="5">
        <v>0.384821996297321</v>
      </c>
      <c r="AM312" s="5">
        <v>-0.25350093901462101</v>
      </c>
      <c r="AN312" s="5">
        <v>8.4380392459947301E-2</v>
      </c>
      <c r="AO312" s="5">
        <v>-1.5152630771217901E-2</v>
      </c>
      <c r="AP312" s="5">
        <v>-0.13213416129431099</v>
      </c>
      <c r="AQ312" s="5">
        <v>0.16022584733293799</v>
      </c>
      <c r="AR312" s="5">
        <v>0.23956668410951701</v>
      </c>
      <c r="AS312" s="5">
        <v>-2.13705710828564E-2</v>
      </c>
      <c r="AT312" s="5">
        <v>0.44967153394049098</v>
      </c>
      <c r="AU312" s="5">
        <v>-0.32498288447767998</v>
      </c>
      <c r="AV312" s="5">
        <v>0.43116687992164499</v>
      </c>
      <c r="AW312" s="5">
        <v>-0.220764899848055</v>
      </c>
      <c r="AX312" s="5">
        <v>0.439684919420684</v>
      </c>
      <c r="AY312" s="5">
        <v>-0.25713709264524498</v>
      </c>
      <c r="AZ312" s="5">
        <v>0.20604432070218701</v>
      </c>
      <c r="BA312" s="5">
        <v>-9.6468872671936906E-2</v>
      </c>
      <c r="BB312" s="5">
        <v>0.17724972366202199</v>
      </c>
      <c r="BC312" s="5">
        <v>0.18411261216188901</v>
      </c>
      <c r="BD312" s="5">
        <v>2.2600704650612601E-2</v>
      </c>
      <c r="BE312" s="5">
        <v>0.279636867773293</v>
      </c>
      <c r="BF312" s="5">
        <v>0.375824101261993</v>
      </c>
      <c r="BG312" s="5">
        <v>-0.15959396285182101</v>
      </c>
      <c r="BH312" s="5">
        <v>0.416515560627649</v>
      </c>
      <c r="BI312" s="5">
        <v>-0.17386039497747199</v>
      </c>
      <c r="BJ312" s="5">
        <v>-0.17229116517587001</v>
      </c>
      <c r="BK312" s="5">
        <v>7.5787786394940104E-2</v>
      </c>
      <c r="BL312" s="5">
        <v>6.7873438350914805E-2</v>
      </c>
      <c r="BM312" s="5">
        <v>-8.8315947958880606E-2</v>
      </c>
      <c r="BN312" s="5">
        <v>-0.17387636134912199</v>
      </c>
      <c r="BO312" s="5">
        <v>0.27663990934669302</v>
      </c>
      <c r="BP312" s="5">
        <v>-0.19924572861746601</v>
      </c>
      <c r="BQ312" s="5">
        <v>0.36827780567895702</v>
      </c>
      <c r="BR312" s="5">
        <v>0.39323524838804502</v>
      </c>
      <c r="BS312" s="5">
        <v>-0.15716996410332901</v>
      </c>
      <c r="BT312" s="5">
        <v>0.41777490746332002</v>
      </c>
      <c r="BU312" s="5">
        <v>-0.17105201864289099</v>
      </c>
      <c r="BV312" s="5">
        <v>0.436762768141364</v>
      </c>
      <c r="BW312" s="5">
        <v>-0.17819301378960201</v>
      </c>
      <c r="BX312" s="5">
        <v>0.49591637434034103</v>
      </c>
      <c r="BY312" s="5">
        <v>-0.28321614790155097</v>
      </c>
      <c r="BZ312" s="5">
        <v>0.45690528883582898</v>
      </c>
      <c r="CA312" s="5">
        <v>-0.223543838235881</v>
      </c>
      <c r="CB312" s="5">
        <v>0.43070679452204902</v>
      </c>
      <c r="CC312" s="5">
        <v>-0.27325409192673999</v>
      </c>
      <c r="CD312" s="5">
        <v>5.9038045434391097E-2</v>
      </c>
      <c r="CE312" s="5">
        <v>5.6836248217245797E-2</v>
      </c>
      <c r="CF312" s="5">
        <v>0.29333100836517301</v>
      </c>
      <c r="CG312" s="5">
        <v>-0.14410138165278599</v>
      </c>
      <c r="CH312" s="5">
        <v>0.38562934130387899</v>
      </c>
      <c r="CI312" s="5">
        <v>-0.23482621406291301</v>
      </c>
      <c r="CJ312" s="5">
        <v>-9.8408071911500902E-2</v>
      </c>
      <c r="CK312" s="5">
        <v>0.360861234139913</v>
      </c>
      <c r="CL312" s="5">
        <v>3.7784262665025797E-2</v>
      </c>
      <c r="CM312" s="5">
        <v>-2.0899717984653898E-2</v>
      </c>
      <c r="CN312" s="5">
        <v>4.4676186495103902E-2</v>
      </c>
      <c r="CO312" s="5">
        <v>-3.9332290276150499E-3</v>
      </c>
      <c r="CP312" s="5">
        <v>0.302540984915874</v>
      </c>
      <c r="CQ312" s="5">
        <v>-0.12607963820493701</v>
      </c>
      <c r="CR312" s="5">
        <v>0.17103304144727599</v>
      </c>
      <c r="CS312" s="5">
        <v>-3.2099080937542303E-2</v>
      </c>
      <c r="CT312" s="5">
        <v>2.71872909977489E-2</v>
      </c>
      <c r="CU312" s="5">
        <v>-2.6328099551964499E-2</v>
      </c>
      <c r="CV312" s="5">
        <v>0.38300152526014902</v>
      </c>
      <c r="CW312" s="5">
        <v>-0.25617436393569099</v>
      </c>
      <c r="CX312" s="5">
        <v>0.32341457302111598</v>
      </c>
      <c r="CY312" s="5">
        <v>-6.9563261046711303E-2</v>
      </c>
      <c r="CZ312" s="5">
        <v>0.44541612592810598</v>
      </c>
      <c r="DA312" s="5">
        <v>-0.23743523317151599</v>
      </c>
      <c r="DB312" s="5">
        <v>0.35246721652808</v>
      </c>
      <c r="DC312" s="5">
        <v>-6.2184863801591002E-2</v>
      </c>
      <c r="DD312" s="5">
        <v>0.238589923381268</v>
      </c>
      <c r="DE312" s="5">
        <v>-3.6168712136674497E-2</v>
      </c>
      <c r="DF312" s="5">
        <v>0.24969869405311701</v>
      </c>
      <c r="DG312" s="5">
        <v>-2.9782308966335099E-2</v>
      </c>
      <c r="DH312" s="5">
        <v>0.14215893405274299</v>
      </c>
      <c r="DI312" s="5">
        <v>8.1974580071747405E-2</v>
      </c>
      <c r="DJ312" s="5">
        <v>-0.143105702864224</v>
      </c>
      <c r="DK312" s="5">
        <v>0.13272259934688199</v>
      </c>
      <c r="DL312" s="5">
        <v>0.30273067860719799</v>
      </c>
      <c r="DM312" s="5">
        <v>-4.3580172708003899E-2</v>
      </c>
      <c r="DN312" s="5">
        <v>-0.18376938218522801</v>
      </c>
      <c r="DO312" s="5">
        <v>0.124251442230006</v>
      </c>
      <c r="DP312" s="5">
        <v>0.36096895951397201</v>
      </c>
      <c r="DQ312" s="5">
        <v>-0.13373575642575899</v>
      </c>
      <c r="DR312" s="5">
        <v>0.10404339179486501</v>
      </c>
      <c r="DS312" s="5">
        <v>1.6610905123883898E-2</v>
      </c>
      <c r="DT312" s="5">
        <v>0.24287870841782899</v>
      </c>
      <c r="DU312" s="5">
        <v>-0.125402789547406</v>
      </c>
      <c r="DV312" s="5">
        <v>0.49634789587433098</v>
      </c>
      <c r="DW312" s="5">
        <v>-0.32078873101245098</v>
      </c>
      <c r="DX312" s="5">
        <v>-1.1457732074316E-2</v>
      </c>
      <c r="DY312" s="5">
        <v>2.9135430173084498E-2</v>
      </c>
      <c r="DZ312" s="5">
        <v>1.4061081167724599E-2</v>
      </c>
      <c r="EA312" s="5">
        <v>-2.8955227762879301E-2</v>
      </c>
      <c r="EB312" s="5">
        <v>0.39642962598470399</v>
      </c>
      <c r="EC312" s="5">
        <v>-0.17689240077027499</v>
      </c>
      <c r="ED312" s="5">
        <v>0.54978254424601902</v>
      </c>
      <c r="EE312" s="5">
        <v>-0.29946867239411801</v>
      </c>
      <c r="EF312" s="5">
        <v>0.16619707852858101</v>
      </c>
      <c r="EG312" s="5">
        <v>-3.3023687216973102E-2</v>
      </c>
      <c r="EH312" s="5">
        <v>0.32295498382085203</v>
      </c>
      <c r="EI312" s="5">
        <v>-7.9437154505135901E-2</v>
      </c>
      <c r="EJ312" s="5">
        <v>0.38091389685834998</v>
      </c>
      <c r="EK312" s="5">
        <v>-0.15547521240474399</v>
      </c>
      <c r="EL312" s="5">
        <v>0.50673283684709702</v>
      </c>
      <c r="EM312" s="5">
        <v>-0.29190010191851401</v>
      </c>
      <c r="EN312" s="5">
        <v>2.1875674413509801E-2</v>
      </c>
      <c r="EO312" s="5">
        <v>0.19425522921097099</v>
      </c>
      <c r="EP312" s="5">
        <v>0.30945175086631299</v>
      </c>
      <c r="EQ312" s="5">
        <v>-0.21834994285809101</v>
      </c>
      <c r="ER312" s="5">
        <v>0.26375030673877597</v>
      </c>
      <c r="ES312" s="5">
        <v>-3.1624393144868403E-2</v>
      </c>
      <c r="ET312" s="5">
        <v>0.37930720448987498</v>
      </c>
      <c r="EU312" s="5">
        <v>-0.281908352551139</v>
      </c>
      <c r="EV312" s="5">
        <v>0.31044050251990102</v>
      </c>
      <c r="EW312" s="5">
        <v>-0.181209022304652</v>
      </c>
      <c r="EX312" s="5">
        <v>0.417742099648578</v>
      </c>
      <c r="EY312" s="5">
        <v>-0.37194979996130101</v>
      </c>
      <c r="EZ312" s="5">
        <v>0.18980808972855601</v>
      </c>
      <c r="FA312" s="5">
        <v>4.2678230292561299E-2</v>
      </c>
      <c r="FB312" s="5">
        <v>7.3947191587158595E-2</v>
      </c>
      <c r="FC312" s="5">
        <v>7.7249912367709006E-2</v>
      </c>
      <c r="FD312" s="5">
        <v>0.36076982028844601</v>
      </c>
      <c r="FE312" s="5">
        <v>-0.20551956071896399</v>
      </c>
      <c r="FF312" s="5">
        <v>3.3858564037941997E-2</v>
      </c>
      <c r="FG312" s="5">
        <v>8.9922030500561204E-2</v>
      </c>
      <c r="FH312" s="5">
        <v>0.415464656261059</v>
      </c>
      <c r="FI312" s="5">
        <v>-0.16867859393955301</v>
      </c>
      <c r="FJ312" s="5">
        <v>0.53429137718463904</v>
      </c>
      <c r="FK312" s="5">
        <v>-0.24236634598627901</v>
      </c>
      <c r="FL312" s="5">
        <v>-7.0311973955828E-2</v>
      </c>
      <c r="FM312" s="5">
        <v>0.111840269684075</v>
      </c>
      <c r="FN312" s="5">
        <v>0.14236035847039799</v>
      </c>
      <c r="FO312" s="5">
        <v>0.178122858166788</v>
      </c>
      <c r="FP312" s="5">
        <v>0.17725107594525399</v>
      </c>
      <c r="FQ312" s="5">
        <v>0.13735662048139</v>
      </c>
      <c r="FR312" s="5">
        <v>-0.208443678334367</v>
      </c>
      <c r="FS312" s="5">
        <v>0.22141390472306499</v>
      </c>
      <c r="FT312" s="5">
        <v>0.19510058557843499</v>
      </c>
      <c r="FU312" s="5">
        <v>0.110401443857771</v>
      </c>
      <c r="FV312" s="5">
        <v>0.12451539393649</v>
      </c>
      <c r="FW312" s="5">
        <v>8.9005872480640097E-2</v>
      </c>
      <c r="FX312" s="5">
        <v>0.32945314506843498</v>
      </c>
      <c r="FY312" s="5">
        <v>-0.17182352805159201</v>
      </c>
      <c r="FZ312" s="5">
        <v>0.23605925957511401</v>
      </c>
      <c r="GA312" s="5">
        <v>9.0042638114299398E-2</v>
      </c>
      <c r="GB312" s="5">
        <v>5.7002145004076597E-2</v>
      </c>
      <c r="GC312" s="5">
        <v>0.142873033546488</v>
      </c>
      <c r="GD312" s="5">
        <v>-8.1977855058326402E-2</v>
      </c>
      <c r="GE312" s="5">
        <v>9.0702300006089601E-2</v>
      </c>
      <c r="GF312" s="5">
        <v>0.33972319355872199</v>
      </c>
      <c r="GG312" s="5">
        <v>-0.104528605285062</v>
      </c>
      <c r="GH312" s="5">
        <v>-0.282817561628942</v>
      </c>
      <c r="GI312" s="5">
        <v>0.235642113044085</v>
      </c>
      <c r="GJ312" s="5">
        <v>0.344894682287744</v>
      </c>
      <c r="GK312" s="5">
        <v>-0.21243467251568199</v>
      </c>
      <c r="GL312" s="5">
        <v>0.27076216943583098</v>
      </c>
      <c r="GM312" s="5">
        <v>-0.137142487465789</v>
      </c>
      <c r="GN312" s="5">
        <v>9.8632784545992794E-2</v>
      </c>
      <c r="GO312" s="5">
        <v>9.2392416731999896E-2</v>
      </c>
      <c r="GP312" s="5">
        <v>0.27570733577238499</v>
      </c>
      <c r="GQ312" s="5">
        <v>5.9476375016742796E-4</v>
      </c>
      <c r="GR312" s="5">
        <v>0.47441789692046799</v>
      </c>
      <c r="GS312" s="5">
        <v>-0.35286083791645001</v>
      </c>
      <c r="GT312" s="5">
        <v>5.7019874682983501E-2</v>
      </c>
      <c r="GU312" s="5">
        <v>0.27407987354244401</v>
      </c>
      <c r="GV312" s="5">
        <v>0.54720390009558795</v>
      </c>
      <c r="GW312" s="5">
        <v>-0.385294789088935</v>
      </c>
      <c r="GX312" s="5">
        <v>0.37124847533993099</v>
      </c>
      <c r="GY312" s="5">
        <v>-0.154284406756376</v>
      </c>
      <c r="GZ312" s="5">
        <v>7.4516421949924E-2</v>
      </c>
      <c r="HA312" s="5">
        <v>-9.7623568247996007E-2</v>
      </c>
      <c r="HB312" s="5">
        <v>0.48660260167593999</v>
      </c>
      <c r="HC312" s="5">
        <v>-0.29347923415796201</v>
      </c>
      <c r="HD312" s="5">
        <v>0.123948953110799</v>
      </c>
      <c r="HE312" s="5">
        <v>0.148948148484461</v>
      </c>
      <c r="HF312" s="5">
        <v>-0.10581447487407</v>
      </c>
      <c r="HG312" s="5">
        <v>0.122824452446458</v>
      </c>
      <c r="HH312" s="5">
        <v>6.27051457605875E-2</v>
      </c>
      <c r="HI312" s="5">
        <v>-1.2275078366466701E-2</v>
      </c>
      <c r="HJ312" s="5">
        <v>-0.125008001111549</v>
      </c>
      <c r="HK312" s="5">
        <v>0.12841862310203001</v>
      </c>
      <c r="HL312" s="5">
        <v>0.25549225832439598</v>
      </c>
      <c r="HM312" s="5">
        <v>-1.7763213931133202E-2</v>
      </c>
      <c r="HN312" s="5">
        <v>-5.7855383867655701E-2</v>
      </c>
      <c r="HO312" s="5">
        <v>0.188537495415142</v>
      </c>
      <c r="HP312" s="5">
        <v>0.35514891600690301</v>
      </c>
      <c r="HQ312" s="5">
        <v>-9.8509233996251305E-2</v>
      </c>
      <c r="HR312" s="5">
        <v>0.438950411993836</v>
      </c>
      <c r="HS312" s="5">
        <v>-0.23885905319324499</v>
      </c>
      <c r="HT312" s="5">
        <v>5.3414436732913399E-2</v>
      </c>
      <c r="HU312" s="5">
        <v>7.9547019038561095E-2</v>
      </c>
      <c r="HV312" s="5">
        <v>0.36513882158060501</v>
      </c>
      <c r="HW312" s="5">
        <v>-9.6924817172886202E-2</v>
      </c>
      <c r="HX312" s="5">
        <v>0.58075964041426698</v>
      </c>
      <c r="HY312" s="5">
        <v>-0.368798123526629</v>
      </c>
      <c r="HZ312" s="5">
        <v>8.64054956772662E-2</v>
      </c>
      <c r="IA312" s="5">
        <v>-5.0889592097368298E-2</v>
      </c>
      <c r="IB312" s="5">
        <v>-7.2101486223244401E-2</v>
      </c>
      <c r="IC312" s="5">
        <v>6.8133148736855302E-3</v>
      </c>
      <c r="ID312" s="5">
        <v>0.312228329311588</v>
      </c>
      <c r="IE312" s="5">
        <v>-3.7144246223059202E-2</v>
      </c>
      <c r="IF312" s="5">
        <v>0.35838418921195597</v>
      </c>
      <c r="IG312" s="5">
        <v>-7.81210512231965E-2</v>
      </c>
      <c r="IH312" s="5">
        <v>0.16562095960493201</v>
      </c>
      <c r="II312" s="5">
        <v>-3.7034292142221398E-2</v>
      </c>
      <c r="IJ312" s="5">
        <v>0.39089580975708998</v>
      </c>
      <c r="IK312" s="5">
        <v>-0.28219829850205402</v>
      </c>
      <c r="IL312" s="5">
        <v>0.27829389052346598</v>
      </c>
      <c r="IM312" s="5">
        <v>-2.2401124449997301E-2</v>
      </c>
      <c r="IN312" s="5">
        <v>0.25548875894677697</v>
      </c>
      <c r="IO312" s="5">
        <v>9.9887439779975606E-2</v>
      </c>
      <c r="IP312" s="5">
        <v>0.52785925562367797</v>
      </c>
      <c r="IQ312" s="5">
        <v>-0.25041966779344799</v>
      </c>
      <c r="IR312" s="5">
        <v>0.37512287155827201</v>
      </c>
      <c r="IS312" s="5">
        <v>-0.202253352994819</v>
      </c>
      <c r="IT312" s="5">
        <v>0.345377005219829</v>
      </c>
      <c r="IU312" s="5">
        <v>-8.2622386627641195E-2</v>
      </c>
      <c r="IV312" s="5">
        <v>0.33258821992818399</v>
      </c>
      <c r="IW312" s="5">
        <v>-0.10748041028911801</v>
      </c>
      <c r="IX312" s="5">
        <v>0.21141183354220899</v>
      </c>
      <c r="IY312" s="5">
        <v>-3.4051883476762003E-2</v>
      </c>
      <c r="IZ312" s="5">
        <v>6.37744225370631E-2</v>
      </c>
      <c r="JA312" s="5">
        <v>-2.3756717487527501E-2</v>
      </c>
      <c r="JB312" s="5">
        <v>-0.12060601534165701</v>
      </c>
      <c r="JC312" s="5">
        <v>5.4494086163456301E-2</v>
      </c>
      <c r="JD312" s="5">
        <v>0.158159059207402</v>
      </c>
      <c r="JE312" s="5">
        <v>0.177812584698091</v>
      </c>
      <c r="JF312" s="5">
        <v>0.474280179928042</v>
      </c>
      <c r="JG312" s="5">
        <v>-0.37785210435385602</v>
      </c>
      <c r="JH312" s="5">
        <v>0.19679983483633301</v>
      </c>
      <c r="JI312" s="5">
        <v>-0.18197814098621901</v>
      </c>
      <c r="JJ312" s="5">
        <v>0.43390128130349298</v>
      </c>
      <c r="JK312" s="5">
        <v>-0.10158721126178601</v>
      </c>
      <c r="JL312" s="5">
        <v>0.18911497745324801</v>
      </c>
      <c r="JM312" s="5">
        <v>9.0338747133585903E-2</v>
      </c>
      <c r="JN312" s="5">
        <v>0.42001050261395401</v>
      </c>
      <c r="JO312" s="5">
        <v>-0.26621462162014897</v>
      </c>
      <c r="JP312" s="5">
        <v>0.42835710921693398</v>
      </c>
      <c r="JQ312" s="5">
        <v>-0.137043414752688</v>
      </c>
      <c r="JR312" s="5">
        <v>0.311790083631929</v>
      </c>
      <c r="JS312" s="5">
        <v>6.00522682469057E-4</v>
      </c>
      <c r="JT312" s="5">
        <v>0.21561335580978999</v>
      </c>
      <c r="JU312" s="5">
        <v>-7.7701684224123905E-4</v>
      </c>
      <c r="JV312" s="5">
        <v>0.60216301226408298</v>
      </c>
      <c r="JW312" s="5">
        <v>-0.44819906950225402</v>
      </c>
      <c r="JX312" s="5">
        <v>-7.4378055933071504E-3</v>
      </c>
      <c r="JY312" s="5">
        <v>3.93095636245498E-2</v>
      </c>
      <c r="JZ312" s="5">
        <v>0.244613301880578</v>
      </c>
      <c r="KA312" s="5">
        <v>-0.10441705580694099</v>
      </c>
      <c r="KB312" s="5">
        <v>-4.3790584094168701E-2</v>
      </c>
      <c r="KC312" s="5">
        <v>4.9111014944005098E-2</v>
      </c>
      <c r="KD312" s="5">
        <v>6.7076720529684497E-2</v>
      </c>
      <c r="KE312" s="5">
        <v>0.15583412948879699</v>
      </c>
      <c r="KF312" s="5">
        <v>0.45238115919591299</v>
      </c>
      <c r="KG312" s="5">
        <v>-0.31906567441365102</v>
      </c>
      <c r="KH312" s="5">
        <v>0.17520570030065</v>
      </c>
      <c r="KI312" s="5">
        <v>0.123581140323407</v>
      </c>
      <c r="KJ312" s="5">
        <v>0.29418453077615803</v>
      </c>
      <c r="KK312" s="5">
        <v>-3.8516753588472397E-2</v>
      </c>
      <c r="KL312" s="5">
        <v>0.424093681601658</v>
      </c>
      <c r="KM312" s="5">
        <v>-0.31074175370003798</v>
      </c>
      <c r="KN312" s="5">
        <v>-2.2979490096552601E-2</v>
      </c>
      <c r="KO312" s="5">
        <v>0.119037229062203</v>
      </c>
      <c r="KP312" s="5">
        <v>-0.34482643751286801</v>
      </c>
      <c r="KQ312" s="5">
        <v>0.29463754074892801</v>
      </c>
      <c r="KR312" s="5">
        <v>0.49216114308112102</v>
      </c>
      <c r="KS312" s="5">
        <v>-0.266942830248106</v>
      </c>
      <c r="KT312" s="5">
        <v>0.35474503172134603</v>
      </c>
      <c r="KU312" s="5">
        <v>-9.0418407046099505E-2</v>
      </c>
      <c r="KV312" s="5">
        <v>0.28574570267143701</v>
      </c>
      <c r="KW312" s="5">
        <v>-1.5653840540074099E-2</v>
      </c>
      <c r="KX312" s="5">
        <v>0.39382677612766998</v>
      </c>
      <c r="KY312" s="5">
        <v>-0.136070319428539</v>
      </c>
      <c r="KZ312" s="5">
        <v>1</v>
      </c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</row>
    <row r="313" spans="1:389" x14ac:dyDescent="0.45">
      <c r="A313" s="4" t="str">
        <f ca="1">"SLB / beta2dist in "&amp;CELL("address",'damages-1990'!$K$157)</f>
        <v>SLB / beta2dist in '[BHM betas v3pd.xlsx]damages-1990'!$K$157</v>
      </c>
      <c r="B313" s="6">
        <v>3.2066879916978701E-2</v>
      </c>
      <c r="C313" s="5">
        <v>-7.2876004431101496E-2</v>
      </c>
      <c r="D313" s="5">
        <v>-0.26381423246116598</v>
      </c>
      <c r="E313" s="5">
        <v>0.28622296451884499</v>
      </c>
      <c r="F313" s="5">
        <v>4.8187595717854401E-2</v>
      </c>
      <c r="G313" s="5">
        <v>-7.9980972007538301E-2</v>
      </c>
      <c r="H313" s="5">
        <v>-0.10142336157794</v>
      </c>
      <c r="I313" s="5">
        <v>8.3653462678560803E-2</v>
      </c>
      <c r="J313" s="5">
        <v>-0.152231308675114</v>
      </c>
      <c r="K313" s="5">
        <v>0.17331775771857999</v>
      </c>
      <c r="L313" s="5">
        <v>-0.19692776868978901</v>
      </c>
      <c r="M313" s="5">
        <v>0.23637205873627101</v>
      </c>
      <c r="N313" s="5">
        <v>5.2660921794040099E-3</v>
      </c>
      <c r="O313" s="5">
        <v>3.04075591836627E-2</v>
      </c>
      <c r="P313" s="5">
        <v>-0.15853126754011199</v>
      </c>
      <c r="Q313" s="5">
        <v>0.21368564395572301</v>
      </c>
      <c r="R313" s="5">
        <v>-0.27456330798339701</v>
      </c>
      <c r="S313" s="5">
        <v>0.35228696242559598</v>
      </c>
      <c r="T313" s="5">
        <v>-0.126904039525013</v>
      </c>
      <c r="U313" s="5">
        <v>0.140601261355072</v>
      </c>
      <c r="V313" s="5">
        <v>8.6763659061132606E-2</v>
      </c>
      <c r="W313" s="5">
        <v>-0.18203218754478201</v>
      </c>
      <c r="X313" s="5">
        <v>-0.29809923904233698</v>
      </c>
      <c r="Y313" s="5">
        <v>0.35313330959419897</v>
      </c>
      <c r="Z313" s="5">
        <v>-5.0882851114251497E-2</v>
      </c>
      <c r="AA313" s="5">
        <v>5.81389867085731E-2</v>
      </c>
      <c r="AB313" s="5">
        <v>-0.30495223148184297</v>
      </c>
      <c r="AC313" s="5">
        <v>0.36693654780094298</v>
      </c>
      <c r="AD313" s="5">
        <v>-0.204551013339381</v>
      </c>
      <c r="AE313" s="5">
        <v>0.219407103443264</v>
      </c>
      <c r="AF313" s="5">
        <v>-0.135992071367037</v>
      </c>
      <c r="AG313" s="5">
        <v>0.19322908203665601</v>
      </c>
      <c r="AH313" s="5">
        <v>6.7806794890829095E-2</v>
      </c>
      <c r="AI313" s="5">
        <v>-9.3926826268187893E-2</v>
      </c>
      <c r="AJ313" s="5">
        <v>-0.15752158038258701</v>
      </c>
      <c r="AK313" s="5">
        <v>0.172069399525551</v>
      </c>
      <c r="AL313" s="5">
        <v>-0.16092298537572</v>
      </c>
      <c r="AM313" s="5">
        <v>0.17479740127238599</v>
      </c>
      <c r="AN313" s="5">
        <v>-9.3462134818764697E-2</v>
      </c>
      <c r="AO313" s="5">
        <v>0.10322963130790599</v>
      </c>
      <c r="AP313" s="5">
        <v>8.3400488956572302E-2</v>
      </c>
      <c r="AQ313" s="5">
        <v>-0.10404591198518399</v>
      </c>
      <c r="AR313" s="5">
        <v>-2.0646497297644301E-2</v>
      </c>
      <c r="AS313" s="5">
        <v>1.9937776907989702E-2</v>
      </c>
      <c r="AT313" s="5">
        <v>-0.266561613214788</v>
      </c>
      <c r="AU313" s="5">
        <v>0.27577455585886901</v>
      </c>
      <c r="AV313" s="5">
        <v>-0.19386167774259699</v>
      </c>
      <c r="AW313" s="5">
        <v>0.290024726307261</v>
      </c>
      <c r="AX313" s="5">
        <v>-0.22866655461868199</v>
      </c>
      <c r="AY313" s="5">
        <v>0.34619428933500501</v>
      </c>
      <c r="AZ313" s="5">
        <v>-0.184695219663217</v>
      </c>
      <c r="BA313" s="5">
        <v>0.26070410944290101</v>
      </c>
      <c r="BB313" s="5">
        <v>3.7671073584240898E-2</v>
      </c>
      <c r="BC313" s="5">
        <v>-8.9337923690260404E-2</v>
      </c>
      <c r="BD313" s="5">
        <v>3.34997571143534E-2</v>
      </c>
      <c r="BE313" s="5">
        <v>-8.9283145058195304E-2</v>
      </c>
      <c r="BF313" s="5">
        <v>-0.22045693960270701</v>
      </c>
      <c r="BG313" s="5">
        <v>0.25629622079609099</v>
      </c>
      <c r="BH313" s="5">
        <v>-0.268475707055082</v>
      </c>
      <c r="BI313" s="5">
        <v>0.344984857782551</v>
      </c>
      <c r="BJ313" s="5">
        <v>5.3894206636355404E-3</v>
      </c>
      <c r="BK313" s="5">
        <v>-4.9056749556994503E-2</v>
      </c>
      <c r="BL313" s="5">
        <v>-0.14208160873727901</v>
      </c>
      <c r="BM313" s="5">
        <v>0.14036416806400101</v>
      </c>
      <c r="BN313" s="5">
        <v>0.19599930074080399</v>
      </c>
      <c r="BO313" s="5">
        <v>-0.273520603211379</v>
      </c>
      <c r="BP313" s="5">
        <v>0.16515780182246201</v>
      </c>
      <c r="BQ313" s="5">
        <v>-0.31537784019465998</v>
      </c>
      <c r="BR313" s="5">
        <v>-0.30279834692512902</v>
      </c>
      <c r="BS313" s="5">
        <v>0.34180527939940097</v>
      </c>
      <c r="BT313" s="5">
        <v>-0.22073762707459399</v>
      </c>
      <c r="BU313" s="5">
        <v>0.30536302034878698</v>
      </c>
      <c r="BV313" s="5">
        <v>-0.25015866009661603</v>
      </c>
      <c r="BW313" s="5">
        <v>0.30637435532610802</v>
      </c>
      <c r="BX313" s="5">
        <v>-0.31844000197943201</v>
      </c>
      <c r="BY313" s="5">
        <v>0.39288117850413201</v>
      </c>
      <c r="BZ313" s="5">
        <v>-0.276200413345292</v>
      </c>
      <c r="CA313" s="5">
        <v>0.32401718288667403</v>
      </c>
      <c r="CB313" s="5">
        <v>-0.22085980358535501</v>
      </c>
      <c r="CC313" s="5">
        <v>0.274270132120217</v>
      </c>
      <c r="CD313" s="5">
        <v>-9.9288689453727007E-3</v>
      </c>
      <c r="CE313" s="5">
        <v>7.8239866941987493E-2</v>
      </c>
      <c r="CF313" s="5">
        <v>-0.203952838224286</v>
      </c>
      <c r="CG313" s="5">
        <v>0.246969105416697</v>
      </c>
      <c r="CH313" s="5">
        <v>-0.13750356591881499</v>
      </c>
      <c r="CI313" s="5">
        <v>0.120970517315087</v>
      </c>
      <c r="CJ313" s="5">
        <v>0.30026020656812902</v>
      </c>
      <c r="CK313" s="5">
        <v>-0.40558082671016099</v>
      </c>
      <c r="CL313" s="5">
        <v>-7.1413209230269795E-2</v>
      </c>
      <c r="CM313" s="5">
        <v>8.4456066444531103E-2</v>
      </c>
      <c r="CN313" s="5">
        <v>-5.60407578008024E-2</v>
      </c>
      <c r="CO313" s="5">
        <v>5.8079437547383497E-2</v>
      </c>
      <c r="CP313" s="5">
        <v>-0.313281796089383</v>
      </c>
      <c r="CQ313" s="5">
        <v>0.34039844828023003</v>
      </c>
      <c r="CR313" s="5">
        <v>-0.13042095983298399</v>
      </c>
      <c r="CS313" s="5">
        <v>0.19308484472531701</v>
      </c>
      <c r="CT313" s="5">
        <v>-5.5437498513526202E-2</v>
      </c>
      <c r="CU313" s="5">
        <v>7.0774295602633402E-2</v>
      </c>
      <c r="CV313" s="5">
        <v>-0.30409216741291101</v>
      </c>
      <c r="CW313" s="5">
        <v>0.38799319821487899</v>
      </c>
      <c r="CX313" s="5">
        <v>-0.13155651820277001</v>
      </c>
      <c r="CY313" s="5">
        <v>0.162888934917648</v>
      </c>
      <c r="CZ313" s="5">
        <v>-0.26139668091878498</v>
      </c>
      <c r="DA313" s="5">
        <v>0.30708440131001602</v>
      </c>
      <c r="DB313" s="5">
        <v>-0.132864319219305</v>
      </c>
      <c r="DC313" s="5">
        <v>0.108783939523846</v>
      </c>
      <c r="DD313" s="5">
        <v>-0.22205213978622501</v>
      </c>
      <c r="DE313" s="5">
        <v>0.266893192207734</v>
      </c>
      <c r="DF313" s="5">
        <v>-0.13550639341117701</v>
      </c>
      <c r="DG313" s="5">
        <v>0.175844044452622</v>
      </c>
      <c r="DH313" s="5">
        <v>-2.1346602322601299E-2</v>
      </c>
      <c r="DI313" s="5">
        <v>3.22170326549037E-2</v>
      </c>
      <c r="DJ313" s="5">
        <v>7.0939335451632904E-2</v>
      </c>
      <c r="DK313" s="5">
        <v>-7.1398546195788601E-2</v>
      </c>
      <c r="DL313" s="5">
        <v>-0.18466408612931501</v>
      </c>
      <c r="DM313" s="5">
        <v>0.23075062652307601</v>
      </c>
      <c r="DN313" s="5">
        <v>4.5564326865928699E-2</v>
      </c>
      <c r="DO313" s="5">
        <v>-3.0424616335388201E-2</v>
      </c>
      <c r="DP313" s="5">
        <v>-0.105242172775304</v>
      </c>
      <c r="DQ313" s="5">
        <v>9.0911434360673796E-2</v>
      </c>
      <c r="DR313" s="5">
        <v>-5.0376664235362502E-2</v>
      </c>
      <c r="DS313" s="5">
        <v>5.80749865504641E-2</v>
      </c>
      <c r="DT313" s="5">
        <v>-0.13066080758398699</v>
      </c>
      <c r="DU313" s="5">
        <v>0.171137282757647</v>
      </c>
      <c r="DV313" s="5">
        <v>-0.35261926174584701</v>
      </c>
      <c r="DW313" s="5">
        <v>0.425328182594993</v>
      </c>
      <c r="DX313" s="5">
        <v>-2.4707173779098E-2</v>
      </c>
      <c r="DY313" s="5">
        <v>4.1698890071436297E-2</v>
      </c>
      <c r="DZ313" s="5">
        <v>1.83649441906425E-3</v>
      </c>
      <c r="EA313" s="5">
        <v>4.59048095239461E-2</v>
      </c>
      <c r="EB313" s="5">
        <v>-0.29851063342596501</v>
      </c>
      <c r="EC313" s="5">
        <v>0.35724103990990602</v>
      </c>
      <c r="ED313" s="5">
        <v>-0.43387401694880001</v>
      </c>
      <c r="EE313" s="5">
        <v>0.48564091048633301</v>
      </c>
      <c r="EF313" s="5">
        <v>-0.15230008177833801</v>
      </c>
      <c r="EG313" s="5">
        <v>0.204847209155057</v>
      </c>
      <c r="EH313" s="5">
        <v>-0.16842556924437599</v>
      </c>
      <c r="EI313" s="5">
        <v>0.22451148512687899</v>
      </c>
      <c r="EJ313" s="5">
        <v>-0.232108515984986</v>
      </c>
      <c r="EK313" s="5">
        <v>0.31010639073221702</v>
      </c>
      <c r="EL313" s="5">
        <v>-0.33194711089398898</v>
      </c>
      <c r="EM313" s="5">
        <v>0.40724837967074901</v>
      </c>
      <c r="EN313" s="5">
        <v>0.18104421109250499</v>
      </c>
      <c r="EO313" s="5">
        <v>-0.238931418778146</v>
      </c>
      <c r="EP313" s="5">
        <v>-0.27778517433703898</v>
      </c>
      <c r="EQ313" s="5">
        <v>0.37465671143003298</v>
      </c>
      <c r="ER313" s="5">
        <v>-4.1725945826068603E-2</v>
      </c>
      <c r="ES313" s="5">
        <v>6.2033027420060199E-2</v>
      </c>
      <c r="ET313" s="5">
        <v>-0.20809440196469001</v>
      </c>
      <c r="EU313" s="5">
        <v>0.35389486808007797</v>
      </c>
      <c r="EV313" s="5">
        <v>-0.14007767678737201</v>
      </c>
      <c r="EW313" s="5">
        <v>0.25240917356085202</v>
      </c>
      <c r="EX313" s="5">
        <v>-0.24678063322145799</v>
      </c>
      <c r="EY313" s="5">
        <v>0.42829959745553497</v>
      </c>
      <c r="EZ313" s="5">
        <v>5.9408161516298699E-3</v>
      </c>
      <c r="FA313" s="5">
        <v>2.24053252076373E-2</v>
      </c>
      <c r="FB313" s="5">
        <v>-1.16362842954576E-2</v>
      </c>
      <c r="FC313" s="5">
        <v>1.80789656281421E-3</v>
      </c>
      <c r="FD313" s="5">
        <v>-0.20139876224765799</v>
      </c>
      <c r="FE313" s="5">
        <v>0.27026474645520399</v>
      </c>
      <c r="FF313" s="5">
        <v>1.5646623708495001E-2</v>
      </c>
      <c r="FG313" s="5">
        <v>-2.9103768511662499E-2</v>
      </c>
      <c r="FH313" s="5">
        <v>-0.121388556907816</v>
      </c>
      <c r="FI313" s="5">
        <v>0.117817971512944</v>
      </c>
      <c r="FJ313" s="5">
        <v>-0.37053231752503202</v>
      </c>
      <c r="FK313" s="5">
        <v>0.39181190029152002</v>
      </c>
      <c r="FL313" s="5">
        <v>6.9067531966757204E-2</v>
      </c>
      <c r="FM313" s="5">
        <v>-6.8981516538329096E-2</v>
      </c>
      <c r="FN313" s="5">
        <v>1.4484402834325999E-2</v>
      </c>
      <c r="FO313" s="5">
        <v>-5.6651672462158499E-2</v>
      </c>
      <c r="FP313" s="5">
        <v>1.5469772674461999E-3</v>
      </c>
      <c r="FQ313" s="5">
        <v>-6.9973630693671199E-2</v>
      </c>
      <c r="FR313" s="5">
        <v>0.239038384400902</v>
      </c>
      <c r="FS313" s="5">
        <v>-0.28680189817713497</v>
      </c>
      <c r="FT313" s="5">
        <v>4.0985547455411303E-2</v>
      </c>
      <c r="FU313" s="5">
        <v>-9.7121882774887897E-2</v>
      </c>
      <c r="FV313" s="5">
        <v>-4.7977619288817799E-4</v>
      </c>
      <c r="FW313" s="5">
        <v>-1.86861450962389E-2</v>
      </c>
      <c r="FX313" s="5">
        <v>-0.16376189970921501</v>
      </c>
      <c r="FY313" s="5">
        <v>0.221400826046767</v>
      </c>
      <c r="FZ313" s="5">
        <v>-5.3435723308282498E-3</v>
      </c>
      <c r="GA313" s="5">
        <v>-5.0258948682782599E-2</v>
      </c>
      <c r="GB313" s="5">
        <v>6.5092651187528099E-3</v>
      </c>
      <c r="GC313" s="5">
        <v>-3.2459612247522203E-2</v>
      </c>
      <c r="GD313" s="5">
        <v>0.116335085802054</v>
      </c>
      <c r="GE313" s="5">
        <v>-0.125600913782632</v>
      </c>
      <c r="GF313" s="5">
        <v>-0.149521306217096</v>
      </c>
      <c r="GG313" s="5">
        <v>0.23640193508087701</v>
      </c>
      <c r="GH313" s="5">
        <v>0.28259077374324398</v>
      </c>
      <c r="GI313" s="5">
        <v>-0.33419051667809502</v>
      </c>
      <c r="GJ313" s="5">
        <v>-0.151059411667129</v>
      </c>
      <c r="GK313" s="5">
        <v>0.25262025240965202</v>
      </c>
      <c r="GL313" s="5">
        <v>-0.29316037074920298</v>
      </c>
      <c r="GM313" s="5">
        <v>0.34122427754891599</v>
      </c>
      <c r="GN313" s="5">
        <v>-1.55647809526433E-2</v>
      </c>
      <c r="GO313" s="5">
        <v>2.20089751232606E-2</v>
      </c>
      <c r="GP313" s="5">
        <v>-0.130480625248975</v>
      </c>
      <c r="GQ313" s="5">
        <v>0.115809410076088</v>
      </c>
      <c r="GR313" s="5">
        <v>-0.30043443243941698</v>
      </c>
      <c r="GS313" s="5">
        <v>0.42374553524770903</v>
      </c>
      <c r="GT313" s="5">
        <v>0.13562868679204401</v>
      </c>
      <c r="GU313" s="5">
        <v>-0.25786330639355098</v>
      </c>
      <c r="GV313" s="5">
        <v>-0.39695248825315099</v>
      </c>
      <c r="GW313" s="5">
        <v>0.50874494953517302</v>
      </c>
      <c r="GX313" s="5">
        <v>-0.162033102627025</v>
      </c>
      <c r="GY313" s="5">
        <v>0.17798617400584499</v>
      </c>
      <c r="GZ313" s="5">
        <v>-0.15039653001450301</v>
      </c>
      <c r="HA313" s="5">
        <v>0.152675920691377</v>
      </c>
      <c r="HB313" s="5">
        <v>-0.29205110664730399</v>
      </c>
      <c r="HC313" s="5">
        <v>0.377546263729717</v>
      </c>
      <c r="HD313" s="5">
        <v>-4.8700708046833498E-2</v>
      </c>
      <c r="HE313" s="5">
        <v>4.5400032572476302E-2</v>
      </c>
      <c r="HF313" s="5">
        <v>5.1928282734691501E-2</v>
      </c>
      <c r="HG313" s="5">
        <v>-6.7045365160559395E-2</v>
      </c>
      <c r="HH313" s="5">
        <v>-6.6094619985011302E-2</v>
      </c>
      <c r="HI313" s="5">
        <v>6.6676100394541707E-2</v>
      </c>
      <c r="HJ313" s="5">
        <v>6.5668613657856298E-2</v>
      </c>
      <c r="HK313" s="5">
        <v>-7.5656349890433794E-2</v>
      </c>
      <c r="HL313" s="5">
        <v>-0.13268466628599501</v>
      </c>
      <c r="HM313" s="5">
        <v>0.186927374071401</v>
      </c>
      <c r="HN313" s="5">
        <v>0.117700920742389</v>
      </c>
      <c r="HO313" s="5">
        <v>-0.14991224546455201</v>
      </c>
      <c r="HP313" s="5">
        <v>-8.7082076807026496E-2</v>
      </c>
      <c r="HQ313" s="5">
        <v>0.135552249748598</v>
      </c>
      <c r="HR313" s="5">
        <v>-0.17949565841836901</v>
      </c>
      <c r="HS313" s="5">
        <v>0.249646387265441</v>
      </c>
      <c r="HT313" s="5">
        <v>-4.5914736626990601E-3</v>
      </c>
      <c r="HU313" s="5">
        <v>-2.74105837047749E-3</v>
      </c>
      <c r="HV313" s="5">
        <v>-0.20020499361041699</v>
      </c>
      <c r="HW313" s="5">
        <v>0.214005620998652</v>
      </c>
      <c r="HX313" s="5">
        <v>-0.37722417982877199</v>
      </c>
      <c r="HY313" s="5">
        <v>0.47572322822430302</v>
      </c>
      <c r="HZ313" s="5">
        <v>-0.12198830530652301</v>
      </c>
      <c r="IA313" s="5">
        <v>0.13962870326822499</v>
      </c>
      <c r="IB313" s="5">
        <v>1.6923055949541101E-2</v>
      </c>
      <c r="IC313" s="5">
        <v>-1.3042701433684E-2</v>
      </c>
      <c r="ID313" s="5">
        <v>-8.7318444467211501E-2</v>
      </c>
      <c r="IE313" s="5">
        <v>0.123959037069562</v>
      </c>
      <c r="IF313" s="5">
        <v>-0.184180946476732</v>
      </c>
      <c r="IG313" s="5">
        <v>0.205221968703199</v>
      </c>
      <c r="IH313" s="5">
        <v>-0.124210523066925</v>
      </c>
      <c r="II313" s="5">
        <v>0.195747517675293</v>
      </c>
      <c r="IJ313" s="5">
        <v>-0.24003840774205301</v>
      </c>
      <c r="IK313" s="5">
        <v>0.24998441945449201</v>
      </c>
      <c r="IL313" s="5">
        <v>-8.3145143122915793E-2</v>
      </c>
      <c r="IM313" s="5">
        <v>0.133349814191671</v>
      </c>
      <c r="IN313" s="5">
        <v>-8.5166796364824493E-3</v>
      </c>
      <c r="IO313" s="5">
        <v>-5.3761951620153299E-2</v>
      </c>
      <c r="IP313" s="5">
        <v>-0.36718828341806597</v>
      </c>
      <c r="IQ313" s="5">
        <v>0.39224656512304201</v>
      </c>
      <c r="IR313" s="5">
        <v>-0.187251783488457</v>
      </c>
      <c r="IS313" s="5">
        <v>0.18966883066026999</v>
      </c>
      <c r="IT313" s="5">
        <v>-0.154363694891758</v>
      </c>
      <c r="IU313" s="5">
        <v>0.169215812330511</v>
      </c>
      <c r="IV313" s="5">
        <v>-0.19477039305638</v>
      </c>
      <c r="IW313" s="5">
        <v>0.24539513277476299</v>
      </c>
      <c r="IX313" s="5">
        <v>-6.7632184014789903E-2</v>
      </c>
      <c r="IY313" s="5">
        <v>0.13647605339775801</v>
      </c>
      <c r="IZ313" s="5">
        <v>-5.89191441066221E-2</v>
      </c>
      <c r="JA313" s="5">
        <v>7.1570591452187193E-2</v>
      </c>
      <c r="JB313" s="5">
        <v>-4.0877760739083099E-2</v>
      </c>
      <c r="JC313" s="5">
        <v>6.0432529995617698E-2</v>
      </c>
      <c r="JD313" s="5">
        <v>-3.25132675620508E-2</v>
      </c>
      <c r="JE313" s="5">
        <v>8.7167737278605693E-3</v>
      </c>
      <c r="JF313" s="5">
        <v>-0.33912730428837501</v>
      </c>
      <c r="JG313" s="5">
        <v>0.40397593001639398</v>
      </c>
      <c r="JH313" s="5">
        <v>-0.153592360717522</v>
      </c>
      <c r="JI313" s="5">
        <v>0.231116066933477</v>
      </c>
      <c r="JJ313" s="5">
        <v>-0.26321544194156699</v>
      </c>
      <c r="JK313" s="5">
        <v>0.26637715910042498</v>
      </c>
      <c r="JL313" s="5">
        <v>-5.0882975284594699E-2</v>
      </c>
      <c r="JM313" s="5">
        <v>6.8952161252318706E-2</v>
      </c>
      <c r="JN313" s="5">
        <v>-0.28655110709741399</v>
      </c>
      <c r="JO313" s="5">
        <v>0.35533136767824403</v>
      </c>
      <c r="JP313" s="5">
        <v>-0.20055170445682399</v>
      </c>
      <c r="JQ313" s="5">
        <v>0.231237559678522</v>
      </c>
      <c r="JR313" s="5">
        <v>-3.4434663612248902E-2</v>
      </c>
      <c r="JS313" s="5">
        <v>1.04790190990511E-3</v>
      </c>
      <c r="JT313" s="5">
        <v>1.8113844254007899E-2</v>
      </c>
      <c r="JU313" s="5">
        <v>-4.9450424925051403E-2</v>
      </c>
      <c r="JV313" s="5">
        <v>-0.34915314998816699</v>
      </c>
      <c r="JW313" s="5">
        <v>0.49007136133453399</v>
      </c>
      <c r="JX313" s="5">
        <v>-1.9727940457425801E-2</v>
      </c>
      <c r="JY313" s="5">
        <v>1.6751055461520701E-2</v>
      </c>
      <c r="JZ313" s="5">
        <v>-0.22512018416072299</v>
      </c>
      <c r="KA313" s="5">
        <v>0.27980377215471902</v>
      </c>
      <c r="KB313" s="5">
        <v>-2.5359832791225001E-2</v>
      </c>
      <c r="KC313" s="5">
        <v>1.9710783803031599E-2</v>
      </c>
      <c r="KD313" s="5">
        <v>6.4355389039999905E-2</v>
      </c>
      <c r="KE313" s="5">
        <v>-8.6943840647603798E-2</v>
      </c>
      <c r="KF313" s="5">
        <v>-0.26876162088515398</v>
      </c>
      <c r="KG313" s="5">
        <v>0.34545806910284999</v>
      </c>
      <c r="KH313" s="5">
        <v>5.7107664461371603E-2</v>
      </c>
      <c r="KI313" s="5">
        <v>-0.110589701627701</v>
      </c>
      <c r="KJ313" s="5">
        <v>-0.16902152976813101</v>
      </c>
      <c r="KK313" s="5">
        <v>0.19505730191826401</v>
      </c>
      <c r="KL313" s="5">
        <v>-0.23051991262004001</v>
      </c>
      <c r="KM313" s="5">
        <v>0.27399233641740101</v>
      </c>
      <c r="KN313" s="5">
        <v>4.52267725314165E-2</v>
      </c>
      <c r="KO313" s="5">
        <v>-6.0780532001128401E-2</v>
      </c>
      <c r="KP313" s="5">
        <v>0.26444507364425701</v>
      </c>
      <c r="KQ313" s="5">
        <v>-0.30105641307502801</v>
      </c>
      <c r="KR313" s="5">
        <v>-0.31247134073759297</v>
      </c>
      <c r="KS313" s="5">
        <v>0.382301293806454</v>
      </c>
      <c r="KT313" s="5">
        <v>-0.21693909805220801</v>
      </c>
      <c r="KU313" s="5">
        <v>0.26141338581985901</v>
      </c>
      <c r="KV313" s="5">
        <v>-0.17447639438984</v>
      </c>
      <c r="KW313" s="5">
        <v>0.198551075483552</v>
      </c>
      <c r="KX313" s="5">
        <v>-0.252359720665775</v>
      </c>
      <c r="KY313" s="5">
        <v>0.29559636844694698</v>
      </c>
      <c r="KZ313" s="5">
        <v>-0.86160107445752898</v>
      </c>
      <c r="LA313" s="5">
        <v>1</v>
      </c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</row>
    <row r="314" spans="1:389" x14ac:dyDescent="0.45">
      <c r="A314" s="4" t="str">
        <f ca="1">"SLE / beta1dist in "&amp;CELL("address",'damages-1990'!$J$158)</f>
        <v>SLE / beta1dist in '[BHM betas v3pd.xlsx]damages-1990'!$J$158</v>
      </c>
      <c r="B314" s="6">
        <v>0.256774469499497</v>
      </c>
      <c r="C314" s="5">
        <v>0.121500802786769</v>
      </c>
      <c r="D314" s="5">
        <v>0.65984489408574298</v>
      </c>
      <c r="E314" s="5">
        <v>-0.32418092800403903</v>
      </c>
      <c r="F314" s="5">
        <v>0.15874503369707099</v>
      </c>
      <c r="G314" s="5">
        <v>0.12655103585012001</v>
      </c>
      <c r="H314" s="5">
        <v>-0.22347530642622901</v>
      </c>
      <c r="I314" s="5">
        <v>0.22416551712795399</v>
      </c>
      <c r="J314" s="5">
        <v>0.66839691039246896</v>
      </c>
      <c r="K314" s="5">
        <v>-0.31016976856334999</v>
      </c>
      <c r="L314" s="5">
        <v>0.36954348195956999</v>
      </c>
      <c r="M314" s="5">
        <v>2.92290778435122E-2</v>
      </c>
      <c r="N314" s="5">
        <v>-5.6455335914483498E-2</v>
      </c>
      <c r="O314" s="5">
        <v>4.4938217736121701E-2</v>
      </c>
      <c r="P314" s="5">
        <v>0.45005459911615497</v>
      </c>
      <c r="Q314" s="5">
        <v>-0.262367706382583</v>
      </c>
      <c r="R314" s="5">
        <v>0.63463566353199796</v>
      </c>
      <c r="S314" s="5">
        <v>-0.306795237271555</v>
      </c>
      <c r="T314" s="5">
        <v>4.6376928326328101E-2</v>
      </c>
      <c r="U314" s="5">
        <v>-6.2356292176489699E-2</v>
      </c>
      <c r="V314" s="5">
        <v>0.23342529354453501</v>
      </c>
      <c r="W314" s="5">
        <v>0.19034192747478301</v>
      </c>
      <c r="X314" s="5">
        <v>0.60536571107707005</v>
      </c>
      <c r="Y314" s="5">
        <v>-0.26190773462294697</v>
      </c>
      <c r="Z314" s="5">
        <v>-6.5276600940465104E-3</v>
      </c>
      <c r="AA314" s="5">
        <v>0.114425170420723</v>
      </c>
      <c r="AB314" s="5">
        <v>0.62910232450307801</v>
      </c>
      <c r="AC314" s="5">
        <v>-0.41874021423384</v>
      </c>
      <c r="AD314" s="5">
        <v>0.66421563121011895</v>
      </c>
      <c r="AE314" s="5">
        <v>-0.39319170626319599</v>
      </c>
      <c r="AF314" s="5">
        <v>0.42830286001664197</v>
      </c>
      <c r="AG314" s="5">
        <v>-0.158504528836306</v>
      </c>
      <c r="AH314" s="5">
        <v>0.137813597410856</v>
      </c>
      <c r="AI314" s="5">
        <v>8.0280448779910502E-2</v>
      </c>
      <c r="AJ314" s="5">
        <v>0.58911922095361102</v>
      </c>
      <c r="AK314" s="5">
        <v>-0.21650702976032801</v>
      </c>
      <c r="AL314" s="5">
        <v>0.287678655532562</v>
      </c>
      <c r="AM314" s="5">
        <v>-6.1745998984472202E-2</v>
      </c>
      <c r="AN314" s="5">
        <v>0.10733489296507701</v>
      </c>
      <c r="AO314" s="5">
        <v>-5.0213408938210198E-3</v>
      </c>
      <c r="AP314" s="5">
        <v>-0.12009111789082499</v>
      </c>
      <c r="AQ314" s="5">
        <v>0.13160320777472001</v>
      </c>
      <c r="AR314" s="5">
        <v>0.57935279991799704</v>
      </c>
      <c r="AS314" s="5">
        <v>-0.30826145399746602</v>
      </c>
      <c r="AT314" s="5">
        <v>0.21291047736853499</v>
      </c>
      <c r="AU314" s="5">
        <v>1.26871930745563E-2</v>
      </c>
      <c r="AV314" s="5">
        <v>0.64782397956568405</v>
      </c>
      <c r="AW314" s="5">
        <v>-0.34646937934859101</v>
      </c>
      <c r="AX314" s="5">
        <v>0.74441286700750497</v>
      </c>
      <c r="AY314" s="5">
        <v>-0.47641373571107898</v>
      </c>
      <c r="AZ314" s="5">
        <v>0.62120385258963295</v>
      </c>
      <c r="BA314" s="5">
        <v>-0.43667953795798897</v>
      </c>
      <c r="BB314" s="5">
        <v>0.59137190630520797</v>
      </c>
      <c r="BC314" s="5">
        <v>-0.25206191148951501</v>
      </c>
      <c r="BD314" s="5">
        <v>8.1775348821346905E-2</v>
      </c>
      <c r="BE314" s="5">
        <v>0.290273003745462</v>
      </c>
      <c r="BF314" s="5">
        <v>0.56740863636333205</v>
      </c>
      <c r="BG314" s="5">
        <v>-0.28030606047947598</v>
      </c>
      <c r="BH314" s="5">
        <v>0.73245391438432494</v>
      </c>
      <c r="BI314" s="5">
        <v>-0.44312721671391597</v>
      </c>
      <c r="BJ314" s="5">
        <v>-0.36242113109161</v>
      </c>
      <c r="BK314" s="5">
        <v>0.289152842593348</v>
      </c>
      <c r="BL314" s="5">
        <v>2.4784993557494198E-2</v>
      </c>
      <c r="BM314" s="5">
        <v>-5.6764669571579301E-2</v>
      </c>
      <c r="BN314" s="5">
        <v>-0.20871670681810001</v>
      </c>
      <c r="BO314" s="5">
        <v>0.35511944170528698</v>
      </c>
      <c r="BP314" s="5">
        <v>-0.26248872169055198</v>
      </c>
      <c r="BQ314" s="5">
        <v>0.47132753551263501</v>
      </c>
      <c r="BR314" s="5">
        <v>0.67511679249381795</v>
      </c>
      <c r="BS314" s="5">
        <v>-0.437047971652403</v>
      </c>
      <c r="BT314" s="5">
        <v>0.74782799092375296</v>
      </c>
      <c r="BU314" s="5">
        <v>-0.47265766518121199</v>
      </c>
      <c r="BV314" s="5">
        <v>0.657325690739885</v>
      </c>
      <c r="BW314" s="5">
        <v>-0.34440731971382599</v>
      </c>
      <c r="BX314" s="5">
        <v>0.58687187245022998</v>
      </c>
      <c r="BY314" s="5">
        <v>-0.32893146547382401</v>
      </c>
      <c r="BZ314" s="5">
        <v>0.66613996026378097</v>
      </c>
      <c r="CA314" s="5">
        <v>-0.39922257512171</v>
      </c>
      <c r="CB314" s="5">
        <v>0.333570723943442</v>
      </c>
      <c r="CC314" s="5">
        <v>-0.133028585826829</v>
      </c>
      <c r="CD314" s="5">
        <v>0.38763672976379998</v>
      </c>
      <c r="CE314" s="5">
        <v>-0.21985497404877999</v>
      </c>
      <c r="CF314" s="5">
        <v>0.67884598381282801</v>
      </c>
      <c r="CG314" s="5">
        <v>-0.46216684596992902</v>
      </c>
      <c r="CH314" s="5">
        <v>0.29723252184531201</v>
      </c>
      <c r="CI314" s="5">
        <v>-9.8755091331390807E-2</v>
      </c>
      <c r="CJ314" s="5">
        <v>0.16192614099668501</v>
      </c>
      <c r="CK314" s="5">
        <v>0.13232638331400901</v>
      </c>
      <c r="CL314" s="5">
        <v>4.1135959648670603E-2</v>
      </c>
      <c r="CM314" s="5">
        <v>-1.0075535107850401E-2</v>
      </c>
      <c r="CN314" s="5">
        <v>2.5568233407857301E-3</v>
      </c>
      <c r="CO314" s="5">
        <v>6.9125788045568598E-2</v>
      </c>
      <c r="CP314" s="5">
        <v>0.62020642290832495</v>
      </c>
      <c r="CQ314" s="5">
        <v>-0.35659519160414099</v>
      </c>
      <c r="CR314" s="5">
        <v>0.480088404240056</v>
      </c>
      <c r="CS314" s="5">
        <v>-0.28067370849399798</v>
      </c>
      <c r="CT314" s="5">
        <v>-3.2648332265218398E-2</v>
      </c>
      <c r="CU314" s="5">
        <v>4.6648282961486202E-2</v>
      </c>
      <c r="CV314" s="5">
        <v>0.51679974384585303</v>
      </c>
      <c r="CW314" s="5">
        <v>-0.28620605114189601</v>
      </c>
      <c r="CX314" s="5">
        <v>0.52885671718694904</v>
      </c>
      <c r="CY314" s="5">
        <v>-0.18288055703872699</v>
      </c>
      <c r="CZ314" s="5">
        <v>0.61592051968144301</v>
      </c>
      <c r="DA314" s="5">
        <v>-0.35597028232685701</v>
      </c>
      <c r="DB314" s="5">
        <v>0.425459739578878</v>
      </c>
      <c r="DC314" s="5">
        <v>6.2315150522283799E-2</v>
      </c>
      <c r="DD314" s="5">
        <v>0.64363679883546099</v>
      </c>
      <c r="DE314" s="5">
        <v>-0.32628382536216799</v>
      </c>
      <c r="DF314" s="5">
        <v>0.64856636807085399</v>
      </c>
      <c r="DG314" s="5">
        <v>-0.38432590136422901</v>
      </c>
      <c r="DH314" s="5">
        <v>0.32364527899566797</v>
      </c>
      <c r="DI314" s="5">
        <v>-2.86845311825237E-2</v>
      </c>
      <c r="DJ314" s="5">
        <v>-0.18269999724240801</v>
      </c>
      <c r="DK314" s="5">
        <v>0.157226784723906</v>
      </c>
      <c r="DL314" s="5">
        <v>0.68399730018552696</v>
      </c>
      <c r="DM314" s="5">
        <v>-0.34487954336452897</v>
      </c>
      <c r="DN314" s="5">
        <v>-0.26092498879564802</v>
      </c>
      <c r="DO314" s="5">
        <v>0.17321556538469199</v>
      </c>
      <c r="DP314" s="5">
        <v>0.29766049726383897</v>
      </c>
      <c r="DQ314" s="5">
        <v>-1.00062258286004E-3</v>
      </c>
      <c r="DR314" s="5">
        <v>7.7435301176847701E-2</v>
      </c>
      <c r="DS314" s="5">
        <v>0.11834265213044599</v>
      </c>
      <c r="DT314" s="5">
        <v>0.31740021257140499</v>
      </c>
      <c r="DU314" s="5">
        <v>-0.12778289563137199</v>
      </c>
      <c r="DV314" s="5">
        <v>0.46691883410623403</v>
      </c>
      <c r="DW314" s="5">
        <v>-0.244422658606679</v>
      </c>
      <c r="DX314" s="5">
        <v>-0.158391066594743</v>
      </c>
      <c r="DY314" s="5">
        <v>0.20880422096974799</v>
      </c>
      <c r="DZ314" s="5">
        <v>-6.6511890542095701E-3</v>
      </c>
      <c r="EA314" s="5">
        <v>6.6000954062265804E-3</v>
      </c>
      <c r="EB314" s="5">
        <v>0.75422435422656398</v>
      </c>
      <c r="EC314" s="5">
        <v>-0.47442282138908898</v>
      </c>
      <c r="ED314" s="5">
        <v>0.73356207830824904</v>
      </c>
      <c r="EE314" s="5">
        <v>-0.45153694352477203</v>
      </c>
      <c r="EF314" s="5">
        <v>0.46317525442975999</v>
      </c>
      <c r="EG314" s="5">
        <v>-0.272510255220697</v>
      </c>
      <c r="EH314" s="5">
        <v>0.766224311140555</v>
      </c>
      <c r="EI314" s="5">
        <v>-0.44297076662875701</v>
      </c>
      <c r="EJ314" s="5">
        <v>0.73098499055629396</v>
      </c>
      <c r="EK314" s="5">
        <v>-0.41091931479486898</v>
      </c>
      <c r="EL314" s="5">
        <v>0.78502254465870902</v>
      </c>
      <c r="EM314" s="5">
        <v>-0.54854153366927205</v>
      </c>
      <c r="EN314" s="5">
        <v>0.17118560725993101</v>
      </c>
      <c r="EO314" s="5">
        <v>0.15733680948776099</v>
      </c>
      <c r="EP314" s="5">
        <v>0.63089599236584104</v>
      </c>
      <c r="EQ314" s="5">
        <v>-0.42902818994422198</v>
      </c>
      <c r="ER314" s="5">
        <v>0.61050742101702105</v>
      </c>
      <c r="ES314" s="5">
        <v>-0.30398912034208098</v>
      </c>
      <c r="ET314" s="5">
        <v>0.59234614813776199</v>
      </c>
      <c r="EU314" s="5">
        <v>-0.36959464057003999</v>
      </c>
      <c r="EV314" s="5">
        <v>0.65363462722613797</v>
      </c>
      <c r="EW314" s="5">
        <v>-0.424121396389324</v>
      </c>
      <c r="EX314" s="5">
        <v>0.40190844113605201</v>
      </c>
      <c r="EY314" s="5">
        <v>-0.192807322327987</v>
      </c>
      <c r="EZ314" s="5">
        <v>0.61395691214188597</v>
      </c>
      <c r="FA314" s="5">
        <v>-0.30993223356697702</v>
      </c>
      <c r="FB314" s="5">
        <v>0.16236763409834101</v>
      </c>
      <c r="FC314" s="5">
        <v>4.6187905845078599E-2</v>
      </c>
      <c r="FD314" s="5">
        <v>0.50020547780479296</v>
      </c>
      <c r="FE314" s="5">
        <v>-0.26003209039328201</v>
      </c>
      <c r="FF314" s="5">
        <v>0.12111169081148</v>
      </c>
      <c r="FG314" s="5">
        <v>4.5909380265354002E-2</v>
      </c>
      <c r="FH314" s="5">
        <v>0.60662083810412204</v>
      </c>
      <c r="FI314" s="5">
        <v>-0.37299814090251598</v>
      </c>
      <c r="FJ314" s="5">
        <v>0.56781589739168903</v>
      </c>
      <c r="FK314" s="5">
        <v>-0.17849418465779801</v>
      </c>
      <c r="FL314" s="5">
        <v>-0.19113265429373399</v>
      </c>
      <c r="FM314" s="5">
        <v>0.25499902072345398</v>
      </c>
      <c r="FN314" s="5">
        <v>0.45754869366227902</v>
      </c>
      <c r="FO314" s="5">
        <v>-5.3809369011421901E-2</v>
      </c>
      <c r="FP314" s="5">
        <v>0.49783592135772198</v>
      </c>
      <c r="FQ314" s="5">
        <v>-8.0355454608368196E-2</v>
      </c>
      <c r="FR314" s="5">
        <v>-0.20033081296247399</v>
      </c>
      <c r="FS314" s="5">
        <v>0.117792554673797</v>
      </c>
      <c r="FT314" s="5">
        <v>0.37514089595615102</v>
      </c>
      <c r="FU314" s="5">
        <v>9.2112839580576894E-2</v>
      </c>
      <c r="FV314" s="5">
        <v>0.21176251902499299</v>
      </c>
      <c r="FW314" s="5">
        <v>7.5403574623299996E-2</v>
      </c>
      <c r="FX314" s="5">
        <v>0.53551334625973002</v>
      </c>
      <c r="FY314" s="5">
        <v>-0.30377506055158399</v>
      </c>
      <c r="FZ314" s="5">
        <v>0.46435678480954201</v>
      </c>
      <c r="GA314" s="5">
        <v>2.4507385885909901E-2</v>
      </c>
      <c r="GB314" s="5">
        <v>0.104950451756003</v>
      </c>
      <c r="GC314" s="5">
        <v>0.170354277180394</v>
      </c>
      <c r="GD314" s="5">
        <v>-0.31100044596001802</v>
      </c>
      <c r="GE314" s="5">
        <v>0.348559192256294</v>
      </c>
      <c r="GF314" s="5">
        <v>0.59200638062982402</v>
      </c>
      <c r="GG314" s="5">
        <v>-0.305282534695138</v>
      </c>
      <c r="GH314" s="5">
        <v>-0.40805672202531101</v>
      </c>
      <c r="GI314" s="5">
        <v>0.353412098097316</v>
      </c>
      <c r="GJ314" s="5">
        <v>0.60630493716438705</v>
      </c>
      <c r="GK314" s="5">
        <v>-0.393419748791065</v>
      </c>
      <c r="GL314" s="5">
        <v>0.51381666462531606</v>
      </c>
      <c r="GM314" s="5">
        <v>-0.31289848627795003</v>
      </c>
      <c r="GN314" s="5">
        <v>0.13676181849338701</v>
      </c>
      <c r="GO314" s="5">
        <v>0.16678023869754799</v>
      </c>
      <c r="GP314" s="5">
        <v>0.57824001242872203</v>
      </c>
      <c r="GQ314" s="5">
        <v>-0.17642918722054099</v>
      </c>
      <c r="GR314" s="5">
        <v>0.67175837196952004</v>
      </c>
      <c r="GS314" s="5">
        <v>-0.47267051071954702</v>
      </c>
      <c r="GT314" s="5">
        <v>0.31067793741861199</v>
      </c>
      <c r="GU314" s="5">
        <v>0.107388797892001</v>
      </c>
      <c r="GV314" s="5">
        <v>0.59396622896681694</v>
      </c>
      <c r="GW314" s="5">
        <v>-0.44811565890564897</v>
      </c>
      <c r="GX314" s="5">
        <v>0.391853759990553</v>
      </c>
      <c r="GY314" s="5">
        <v>-2.8741844682318999E-2</v>
      </c>
      <c r="GZ314" s="5">
        <v>3.1983859474029999E-2</v>
      </c>
      <c r="HA314" s="5">
        <v>-5.8877448045567299E-2</v>
      </c>
      <c r="HB314" s="5">
        <v>0.57902081819657303</v>
      </c>
      <c r="HC314" s="5">
        <v>-0.34494655415697101</v>
      </c>
      <c r="HD314" s="5">
        <v>0.148056035783695</v>
      </c>
      <c r="HE314" s="5">
        <v>0.22265643088841</v>
      </c>
      <c r="HF314" s="5">
        <v>-0.130171212231314</v>
      </c>
      <c r="HG314" s="5">
        <v>0.136761251142134</v>
      </c>
      <c r="HH314" s="5">
        <v>-1.4406579078027001E-2</v>
      </c>
      <c r="HI314" s="5">
        <v>0.106916076006887</v>
      </c>
      <c r="HJ314" s="5">
        <v>-0.15203823498126301</v>
      </c>
      <c r="HK314" s="5">
        <v>0.13968988416313899</v>
      </c>
      <c r="HL314" s="5">
        <v>0.59615569458575601</v>
      </c>
      <c r="HM314" s="5">
        <v>-0.31509820018421197</v>
      </c>
      <c r="HN314" s="5">
        <v>7.9756537190429896E-2</v>
      </c>
      <c r="HO314" s="5">
        <v>7.6509726884947199E-2</v>
      </c>
      <c r="HP314" s="5">
        <v>0.35276147620971399</v>
      </c>
      <c r="HQ314" s="5">
        <v>2.4760969046581999E-2</v>
      </c>
      <c r="HR314" s="5">
        <v>0.568412920980775</v>
      </c>
      <c r="HS314" s="5">
        <v>-0.22083449294124399</v>
      </c>
      <c r="HT314" s="5">
        <v>0.121075264392115</v>
      </c>
      <c r="HU314" s="5">
        <v>7.2278332508392495E-2</v>
      </c>
      <c r="HV314" s="5">
        <v>0.58131194704110201</v>
      </c>
      <c r="HW314" s="5">
        <v>-0.27025158998170501</v>
      </c>
      <c r="HX314" s="5">
        <v>0.58362912800648203</v>
      </c>
      <c r="HY314" s="5">
        <v>-0.30635668669469202</v>
      </c>
      <c r="HZ314" s="5">
        <v>6.54929462438677E-2</v>
      </c>
      <c r="IA314" s="5">
        <v>-3.5070200273299898E-3</v>
      </c>
      <c r="IB314" s="5">
        <v>-0.37599037127806301</v>
      </c>
      <c r="IC314" s="5">
        <v>0.36198855396955698</v>
      </c>
      <c r="ID314" s="5">
        <v>0.57785498239597899</v>
      </c>
      <c r="IE314" s="5">
        <v>-0.23299197226250301</v>
      </c>
      <c r="IF314" s="5">
        <v>0.66104774950211798</v>
      </c>
      <c r="IG314" s="5">
        <v>-0.33881465250425202</v>
      </c>
      <c r="IH314" s="5">
        <v>0.53591144683346403</v>
      </c>
      <c r="II314" s="5">
        <v>-0.34032322273758298</v>
      </c>
      <c r="IJ314" s="5">
        <v>0.241739060487868</v>
      </c>
      <c r="IK314" s="5">
        <v>-9.5197477290527896E-2</v>
      </c>
      <c r="IL314" s="5">
        <v>0.62135346772464595</v>
      </c>
      <c r="IM314" s="5">
        <v>-0.28288808624406397</v>
      </c>
      <c r="IN314" s="5">
        <v>0.66459191643732196</v>
      </c>
      <c r="IO314" s="5">
        <v>-0.39823039276299799</v>
      </c>
      <c r="IP314" s="5">
        <v>0.66459176717387503</v>
      </c>
      <c r="IQ314" s="5">
        <v>-0.32365527860554799</v>
      </c>
      <c r="IR314" s="5">
        <v>0.25253757847844999</v>
      </c>
      <c r="IS314" s="5">
        <v>2.8802776031559198E-2</v>
      </c>
      <c r="IT314" s="5">
        <v>0.51710375785612495</v>
      </c>
      <c r="IU314" s="5">
        <v>-0.19133742225987199</v>
      </c>
      <c r="IV314" s="5">
        <v>0.57395186341164195</v>
      </c>
      <c r="IW314" s="5">
        <v>-0.33125265676923599</v>
      </c>
      <c r="IX314" s="5">
        <v>0.66640714260390099</v>
      </c>
      <c r="IY314" s="5">
        <v>-0.41033149176078598</v>
      </c>
      <c r="IZ314" s="5">
        <v>1.35320866899007E-2</v>
      </c>
      <c r="JA314" s="5">
        <v>6.60671633893989E-2</v>
      </c>
      <c r="JB314" s="5">
        <v>-0.160588047427943</v>
      </c>
      <c r="JC314" s="5">
        <v>5.2478672876595099E-2</v>
      </c>
      <c r="JD314" s="5">
        <v>0.27431131766494099</v>
      </c>
      <c r="JE314" s="5">
        <v>0.117156867192079</v>
      </c>
      <c r="JF314" s="5">
        <v>0.38055321907247502</v>
      </c>
      <c r="JG314" s="5">
        <v>-0.25419828778888898</v>
      </c>
      <c r="JH314" s="5">
        <v>0.14069383819773701</v>
      </c>
      <c r="JI314" s="5">
        <v>-7.2196375532049897E-2</v>
      </c>
      <c r="JJ314" s="5">
        <v>0.72241822367041997</v>
      </c>
      <c r="JK314" s="5">
        <v>-0.33351121732922301</v>
      </c>
      <c r="JL314" s="5">
        <v>0.56860843057667099</v>
      </c>
      <c r="JM314" s="5">
        <v>-0.19589647800507701</v>
      </c>
      <c r="JN314" s="5">
        <v>0.61393295296391204</v>
      </c>
      <c r="JO314" s="5">
        <v>-0.40144978324630198</v>
      </c>
      <c r="JP314" s="5">
        <v>0.65497220928260103</v>
      </c>
      <c r="JQ314" s="5">
        <v>-0.33898877602282201</v>
      </c>
      <c r="JR314" s="5">
        <v>0.45695143495630802</v>
      </c>
      <c r="JS314" s="5">
        <v>-0.11104993002743099</v>
      </c>
      <c r="JT314" s="5">
        <v>0.189892449310091</v>
      </c>
      <c r="JU314" s="5">
        <v>7.2140530723131993E-2</v>
      </c>
      <c r="JV314" s="5">
        <v>0.61916493978588205</v>
      </c>
      <c r="JW314" s="5">
        <v>-0.33227390313980898</v>
      </c>
      <c r="JX314" s="5">
        <v>-1.39514285645956E-2</v>
      </c>
      <c r="JY314" s="5">
        <v>6.1741069252852103E-2</v>
      </c>
      <c r="JZ314" s="5">
        <v>0.49747915438492402</v>
      </c>
      <c r="KA314" s="5">
        <v>-0.26950109605510197</v>
      </c>
      <c r="KB314" s="5">
        <v>-0.166213932113183</v>
      </c>
      <c r="KC314" s="5">
        <v>0.20838110220703501</v>
      </c>
      <c r="KD314" s="5">
        <v>0.41167048898574199</v>
      </c>
      <c r="KE314" s="5">
        <v>-0.13807614062176499</v>
      </c>
      <c r="KF314" s="5">
        <v>0.54217765185816102</v>
      </c>
      <c r="KG314" s="5">
        <v>-0.29739516631025897</v>
      </c>
      <c r="KH314" s="5">
        <v>0.332295647525852</v>
      </c>
      <c r="KI314" s="5">
        <v>0.129411052189742</v>
      </c>
      <c r="KJ314" s="5">
        <v>0.62711688213321204</v>
      </c>
      <c r="KK314" s="5">
        <v>-0.25477472791941003</v>
      </c>
      <c r="KL314" s="5">
        <v>0.29500146912346598</v>
      </c>
      <c r="KM314" s="5">
        <v>-9.1890971876024005E-2</v>
      </c>
      <c r="KN314" s="5">
        <v>6.9014095741569206E-2</v>
      </c>
      <c r="KO314" s="5">
        <v>4.2812155022542903E-2</v>
      </c>
      <c r="KP314" s="5">
        <v>-0.42923849996756702</v>
      </c>
      <c r="KQ314" s="5">
        <v>0.34719530563873602</v>
      </c>
      <c r="KR314" s="5">
        <v>0.62790003672449102</v>
      </c>
      <c r="KS314" s="5">
        <v>-0.33585082372355002</v>
      </c>
      <c r="KT314" s="5">
        <v>0.68815389700393303</v>
      </c>
      <c r="KU314" s="5">
        <v>-0.32877020305355298</v>
      </c>
      <c r="KV314" s="5">
        <v>0.71696867362411398</v>
      </c>
      <c r="KW314" s="5">
        <v>-0.38764694065925398</v>
      </c>
      <c r="KX314" s="5">
        <v>0.75835857502920501</v>
      </c>
      <c r="KY314" s="5">
        <v>-0.425710561664076</v>
      </c>
      <c r="KZ314" s="5">
        <v>0.47667545639160303</v>
      </c>
      <c r="LA314" s="5">
        <v>-0.32736299065008301</v>
      </c>
      <c r="LB314" s="5">
        <v>1</v>
      </c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</row>
    <row r="315" spans="1:389" x14ac:dyDescent="0.45">
      <c r="A315" s="4" t="str">
        <f ca="1">"SLE / beta2dist in "&amp;CELL("address",'damages-1990'!$K$158)</f>
        <v>SLE / beta2dist in '[BHM betas v3pd.xlsx]damages-1990'!$K$158</v>
      </c>
      <c r="B315" s="6">
        <v>-0.13355699848281999</v>
      </c>
      <c r="C315" s="5">
        <v>0.18964160255030699</v>
      </c>
      <c r="D315" s="5">
        <v>-0.37506983311368802</v>
      </c>
      <c r="E315" s="5">
        <v>0.56819018532701204</v>
      </c>
      <c r="F315" s="5">
        <v>-1.7326367670781401E-2</v>
      </c>
      <c r="G315" s="5">
        <v>-2.8208302900281399E-2</v>
      </c>
      <c r="H315" s="5">
        <v>0.17211301269259399</v>
      </c>
      <c r="I315" s="5">
        <v>-0.25869388310625202</v>
      </c>
      <c r="J315" s="5">
        <v>-0.41609490442928798</v>
      </c>
      <c r="K315" s="5">
        <v>0.51966829912265899</v>
      </c>
      <c r="L315" s="5">
        <v>-7.3228366243657E-2</v>
      </c>
      <c r="M315" s="5">
        <v>5.0909688918040499E-2</v>
      </c>
      <c r="N315" s="5">
        <v>4.8300976827120597E-2</v>
      </c>
      <c r="O315" s="5">
        <v>-3.8590081804426003E-2</v>
      </c>
      <c r="P315" s="5">
        <v>-0.47456399139062899</v>
      </c>
      <c r="Q315" s="5">
        <v>0.56924809078986804</v>
      </c>
      <c r="R315" s="5">
        <v>-0.31252308006659002</v>
      </c>
      <c r="S315" s="5">
        <v>0.47941291289458099</v>
      </c>
      <c r="T315" s="5">
        <v>-0.170345911290497</v>
      </c>
      <c r="U315" s="5">
        <v>0.18732715400625599</v>
      </c>
      <c r="V315" s="5">
        <v>-1.68079432382073E-2</v>
      </c>
      <c r="W315" s="5">
        <v>-6.8282125845171002E-2</v>
      </c>
      <c r="X315" s="5">
        <v>-0.35494196495804398</v>
      </c>
      <c r="Y315" s="5">
        <v>0.50065927315817105</v>
      </c>
      <c r="Z315" s="5">
        <v>-6.4527049994514299E-4</v>
      </c>
      <c r="AA315" s="5">
        <v>-9.6344472547750699E-3</v>
      </c>
      <c r="AB315" s="5">
        <v>-0.40895938410130001</v>
      </c>
      <c r="AC315" s="5">
        <v>0.65768913868207102</v>
      </c>
      <c r="AD315" s="5">
        <v>-0.49818046472212602</v>
      </c>
      <c r="AE315" s="5">
        <v>0.69105708143435796</v>
      </c>
      <c r="AF315" s="5">
        <v>-0.215411493914304</v>
      </c>
      <c r="AG315" s="5">
        <v>0.35783878632615601</v>
      </c>
      <c r="AH315" s="5">
        <v>-3.1167927021242901E-2</v>
      </c>
      <c r="AI315" s="5">
        <v>4.4533831724306097E-3</v>
      </c>
      <c r="AJ315" s="5">
        <v>-0.39132788813327701</v>
      </c>
      <c r="AK315" s="5">
        <v>0.440053030360124</v>
      </c>
      <c r="AL315" s="5">
        <v>9.9429483558605702E-2</v>
      </c>
      <c r="AM315" s="5">
        <v>-0.10872577919448199</v>
      </c>
      <c r="AN315" s="5">
        <v>-0.13799644454535401</v>
      </c>
      <c r="AO315" s="5">
        <v>0.154058360620522</v>
      </c>
      <c r="AP315" s="5">
        <v>-2.8737131464380901E-2</v>
      </c>
      <c r="AQ315" s="5">
        <v>4.7488193612325202E-2</v>
      </c>
      <c r="AR315" s="5">
        <v>-0.27008054261506098</v>
      </c>
      <c r="AS315" s="5">
        <v>0.37263579173865602</v>
      </c>
      <c r="AT315" s="5">
        <v>0.13179231873361399</v>
      </c>
      <c r="AU315" s="5">
        <v>-0.14571637921848499</v>
      </c>
      <c r="AV315" s="5">
        <v>-0.28105747469743098</v>
      </c>
      <c r="AW315" s="5">
        <v>0.48953547592385699</v>
      </c>
      <c r="AX315" s="5">
        <v>-0.41322700978885002</v>
      </c>
      <c r="AY315" s="5">
        <v>0.64920922831312</v>
      </c>
      <c r="AZ315" s="5">
        <v>-0.61483999158981995</v>
      </c>
      <c r="BA315" s="5">
        <v>0.71239436396739597</v>
      </c>
      <c r="BB315" s="5">
        <v>-0.248897762331521</v>
      </c>
      <c r="BC315" s="5">
        <v>0.42326293856534503</v>
      </c>
      <c r="BD315" s="5">
        <v>-3.2186833762642898E-2</v>
      </c>
      <c r="BE315" s="5">
        <v>3.1130152377637402E-2</v>
      </c>
      <c r="BF315" s="5">
        <v>-0.32277367656405997</v>
      </c>
      <c r="BG315" s="5">
        <v>0.446927954129403</v>
      </c>
      <c r="BH315" s="5">
        <v>-0.468337239374429</v>
      </c>
      <c r="BI315" s="5">
        <v>0.711360487669083</v>
      </c>
      <c r="BJ315" s="5">
        <v>0.10238406785192899</v>
      </c>
      <c r="BK315" s="5">
        <v>-0.24414686620919501</v>
      </c>
      <c r="BL315" s="5">
        <v>-0.15548516668458401</v>
      </c>
      <c r="BM315" s="5">
        <v>0.14609250006664401</v>
      </c>
      <c r="BN315" s="5">
        <v>0.16892429454820601</v>
      </c>
      <c r="BO315" s="5">
        <v>-0.27749166024409599</v>
      </c>
      <c r="BP315" s="5">
        <v>0.200888301094266</v>
      </c>
      <c r="BQ315" s="5">
        <v>-0.39963067410511799</v>
      </c>
      <c r="BR315" s="5">
        <v>-0.536453512224073</v>
      </c>
      <c r="BS315" s="5">
        <v>0.75593246699491401</v>
      </c>
      <c r="BT315" s="5">
        <v>-0.433364926521076</v>
      </c>
      <c r="BU315" s="5">
        <v>0.70919200465861099</v>
      </c>
      <c r="BV315" s="5">
        <v>-0.36772460547881503</v>
      </c>
      <c r="BW315" s="5">
        <v>0.58307863580424502</v>
      </c>
      <c r="BX315" s="5">
        <v>-0.30100266237506801</v>
      </c>
      <c r="BY315" s="5">
        <v>0.53238444205705804</v>
      </c>
      <c r="BZ315" s="5">
        <v>-0.395794479921947</v>
      </c>
      <c r="CA315" s="5">
        <v>0.60814837016923196</v>
      </c>
      <c r="CB315" s="5">
        <v>-3.6376277043425297E-2</v>
      </c>
      <c r="CC315" s="5">
        <v>0.178806416784866</v>
      </c>
      <c r="CD315" s="5">
        <v>-0.300706835284617</v>
      </c>
      <c r="CE315" s="5">
        <v>0.42744765029548298</v>
      </c>
      <c r="CF315" s="5">
        <v>-0.56810671023419101</v>
      </c>
      <c r="CG315" s="5">
        <v>0.68313579364982502</v>
      </c>
      <c r="CH315" s="5">
        <v>9.6388813494692804E-2</v>
      </c>
      <c r="CI315" s="5">
        <v>-8.6656998403236596E-2</v>
      </c>
      <c r="CJ315" s="5">
        <v>4.8378543472785002E-2</v>
      </c>
      <c r="CK315" s="5">
        <v>-0.10910447987783101</v>
      </c>
      <c r="CL315" s="5">
        <v>-0.100708715267203</v>
      </c>
      <c r="CM315" s="5">
        <v>0.11400471535099301</v>
      </c>
      <c r="CN315" s="5">
        <v>-3.5751671669465801E-2</v>
      </c>
      <c r="CO315" s="5">
        <v>2.80052697896951E-2</v>
      </c>
      <c r="CP315" s="5">
        <v>-0.61689464433256802</v>
      </c>
      <c r="CQ315" s="5">
        <v>0.69832051418229302</v>
      </c>
      <c r="CR315" s="5">
        <v>-0.47379936018281699</v>
      </c>
      <c r="CS315" s="5">
        <v>0.57855805668289295</v>
      </c>
      <c r="CT315" s="5">
        <v>-3.9171040229230701E-2</v>
      </c>
      <c r="CU315" s="5">
        <v>5.4538696161862202E-2</v>
      </c>
      <c r="CV315" s="5">
        <v>-0.38207783896687603</v>
      </c>
      <c r="CW315" s="5">
        <v>0.47001182539152803</v>
      </c>
      <c r="CX315" s="5">
        <v>-0.28578605711455701</v>
      </c>
      <c r="CY315" s="5">
        <v>0.400322489212738</v>
      </c>
      <c r="CZ315" s="5">
        <v>-0.35415798308095298</v>
      </c>
      <c r="DA315" s="5">
        <v>0.51903912716108602</v>
      </c>
      <c r="DB315" s="5">
        <v>-0.12925172255550299</v>
      </c>
      <c r="DC315" s="5">
        <v>6.8203246381569702E-2</v>
      </c>
      <c r="DD315" s="5">
        <v>-0.57823827626031199</v>
      </c>
      <c r="DE315" s="5">
        <v>0.66759682719785596</v>
      </c>
      <c r="DF315" s="5">
        <v>-0.50351888039482895</v>
      </c>
      <c r="DG315" s="5">
        <v>0.64861746127722697</v>
      </c>
      <c r="DH315" s="5">
        <v>-0.20000282110718401</v>
      </c>
      <c r="DI315" s="5">
        <v>0.27291632636128899</v>
      </c>
      <c r="DJ315" s="5">
        <v>2.03153850656239E-3</v>
      </c>
      <c r="DK315" s="5">
        <v>2.2499616192951499E-2</v>
      </c>
      <c r="DL315" s="5">
        <v>-0.49534409128997098</v>
      </c>
      <c r="DM315" s="5">
        <v>0.66033728341989895</v>
      </c>
      <c r="DN315" s="5">
        <v>2.2207493353541798E-2</v>
      </c>
      <c r="DO315" s="5">
        <v>6.5097109173808398E-3</v>
      </c>
      <c r="DP315" s="5">
        <v>0.121060584185336</v>
      </c>
      <c r="DQ315" s="5">
        <v>-0.12145564889724</v>
      </c>
      <c r="DR315" s="5">
        <v>-2.4514505530793401E-2</v>
      </c>
      <c r="DS315" s="5">
        <v>2.40695154841781E-2</v>
      </c>
      <c r="DT315" s="5">
        <v>-0.232966777860622</v>
      </c>
      <c r="DU315" s="5">
        <v>0.27262241062589398</v>
      </c>
      <c r="DV315" s="5">
        <v>-0.229988649330821</v>
      </c>
      <c r="DW315" s="5">
        <v>0.41819207860191698</v>
      </c>
      <c r="DX315" s="5">
        <v>8.1889590747376298E-2</v>
      </c>
      <c r="DY315" s="5">
        <v>-8.1522945886732007E-2</v>
      </c>
      <c r="DZ315" s="5">
        <v>-5.2775184034388302E-3</v>
      </c>
      <c r="EA315" s="5">
        <v>4.7329282673799898E-2</v>
      </c>
      <c r="EB315" s="5">
        <v>-0.58594979626741195</v>
      </c>
      <c r="EC315" s="5">
        <v>0.76984235497849696</v>
      </c>
      <c r="ED315" s="5">
        <v>-0.54225134523778595</v>
      </c>
      <c r="EE315" s="5">
        <v>0.76138372672517896</v>
      </c>
      <c r="EF315" s="5">
        <v>-0.493341299600287</v>
      </c>
      <c r="EG315" s="5">
        <v>0.58098261357384695</v>
      </c>
      <c r="EH315" s="5">
        <v>-0.54511584357008402</v>
      </c>
      <c r="EI315" s="5">
        <v>0.72135772054839997</v>
      </c>
      <c r="EJ315" s="5">
        <v>-0.51434300831173996</v>
      </c>
      <c r="EK315" s="5">
        <v>0.69973273549056803</v>
      </c>
      <c r="EL315" s="5">
        <v>-0.48862586576040701</v>
      </c>
      <c r="EM315" s="5">
        <v>0.72690318253874198</v>
      </c>
      <c r="EN315" s="5">
        <v>0.112662570948971</v>
      </c>
      <c r="EO315" s="5">
        <v>-0.20427318972090799</v>
      </c>
      <c r="EP315" s="5">
        <v>-0.58460737962981701</v>
      </c>
      <c r="EQ315" s="5">
        <v>0.672179832700601</v>
      </c>
      <c r="ER315" s="5">
        <v>-0.30254409910721602</v>
      </c>
      <c r="ES315" s="5">
        <v>0.42407616441958501</v>
      </c>
      <c r="ET315" s="5">
        <v>-0.33835951975081902</v>
      </c>
      <c r="EU315" s="5">
        <v>0.517645736925339</v>
      </c>
      <c r="EV315" s="5">
        <v>-0.46934644277564302</v>
      </c>
      <c r="EW315" s="5">
        <v>0.64865509173354996</v>
      </c>
      <c r="EX315" s="5">
        <v>-9.7815242839022695E-2</v>
      </c>
      <c r="EY315" s="5">
        <v>0.23912140964284401</v>
      </c>
      <c r="EZ315" s="5">
        <v>-0.34693251426703903</v>
      </c>
      <c r="FA315" s="5">
        <v>0.48766490474197999</v>
      </c>
      <c r="FB315" s="5">
        <v>-8.5478582323308502E-2</v>
      </c>
      <c r="FC315" s="5">
        <v>8.78370010908818E-2</v>
      </c>
      <c r="FD315" s="5">
        <v>-0.26843404624807099</v>
      </c>
      <c r="FE315" s="5">
        <v>0.371710748248749</v>
      </c>
      <c r="FF315" s="5">
        <v>-5.9099042198219202E-2</v>
      </c>
      <c r="FG315" s="5">
        <v>5.4415815225146998E-2</v>
      </c>
      <c r="FH315" s="5">
        <v>-0.10538054188049301</v>
      </c>
      <c r="FI315" s="5">
        <v>0.25333426831825301</v>
      </c>
      <c r="FJ315" s="5">
        <v>-0.34067506695613198</v>
      </c>
      <c r="FK315" s="5">
        <v>0.45242268024591797</v>
      </c>
      <c r="FL315" s="5">
        <v>0.173787166458164</v>
      </c>
      <c r="FM315" s="5">
        <v>-0.17938892889672201</v>
      </c>
      <c r="FN315" s="5">
        <v>-0.24040483252966899</v>
      </c>
      <c r="FO315" s="5">
        <v>0.26174807718610199</v>
      </c>
      <c r="FP315" s="5">
        <v>-0.23152029809174901</v>
      </c>
      <c r="FQ315" s="5">
        <v>0.19498247074772199</v>
      </c>
      <c r="FR315" s="5">
        <v>0.23871613147930401</v>
      </c>
      <c r="FS315" s="5">
        <v>-0.19048601151851399</v>
      </c>
      <c r="FT315" s="5">
        <v>-9.1140813152092104E-2</v>
      </c>
      <c r="FU315" s="5">
        <v>1.7669229444071399E-2</v>
      </c>
      <c r="FV315" s="5">
        <v>-4.7501469783401799E-2</v>
      </c>
      <c r="FW315" s="5">
        <v>5.7667835790482E-2</v>
      </c>
      <c r="FX315" s="5">
        <v>-0.322629530638121</v>
      </c>
      <c r="FY315" s="5">
        <v>0.42150868994700003</v>
      </c>
      <c r="FZ315" s="5">
        <v>-0.15538369412059599</v>
      </c>
      <c r="GA315" s="5">
        <v>9.59926050441125E-2</v>
      </c>
      <c r="GB315" s="5">
        <v>-3.2986636077426801E-2</v>
      </c>
      <c r="GC315" s="5">
        <v>1.51120645993025E-2</v>
      </c>
      <c r="GD315" s="5">
        <v>0.237106716890054</v>
      </c>
      <c r="GE315" s="5">
        <v>-0.26089597541250897</v>
      </c>
      <c r="GF315" s="5">
        <v>-0.34575754356848198</v>
      </c>
      <c r="GG315" s="5">
        <v>0.57712064064161195</v>
      </c>
      <c r="GH315" s="5">
        <v>0.394470177905902</v>
      </c>
      <c r="GI315" s="5">
        <v>-0.51397819376142895</v>
      </c>
      <c r="GJ315" s="5">
        <v>-0.27409939047777199</v>
      </c>
      <c r="GK315" s="5">
        <v>0.44328452778511201</v>
      </c>
      <c r="GL315" s="5">
        <v>-0.549444897188481</v>
      </c>
      <c r="GM315" s="5">
        <v>0.613140644502284</v>
      </c>
      <c r="GN315" s="5">
        <v>-2.24040765643937E-2</v>
      </c>
      <c r="GO315" s="5">
        <v>9.3663354024050103E-3</v>
      </c>
      <c r="GP315" s="5">
        <v>-0.34424202165923601</v>
      </c>
      <c r="GQ315" s="5">
        <v>0.34986619575025002</v>
      </c>
      <c r="GR315" s="5">
        <v>-0.367053449459673</v>
      </c>
      <c r="GS315" s="5">
        <v>0.56522738631626701</v>
      </c>
      <c r="GT315" s="5">
        <v>-7.3554937145077895E-2</v>
      </c>
      <c r="GU315" s="5">
        <v>-2.2461018712923199E-2</v>
      </c>
      <c r="GV315" s="5">
        <v>-0.353951892651442</v>
      </c>
      <c r="GW315" s="5">
        <v>0.648400635872183</v>
      </c>
      <c r="GX315" s="5">
        <v>-9.1801122088689097E-2</v>
      </c>
      <c r="GY315" s="5">
        <v>0.10073744281364801</v>
      </c>
      <c r="GZ315" s="5">
        <v>-0.16445498276269799</v>
      </c>
      <c r="HA315" s="5">
        <v>0.15351583004787001</v>
      </c>
      <c r="HB315" s="5">
        <v>-0.26305646681438</v>
      </c>
      <c r="HC315" s="5">
        <v>0.48516094279810301</v>
      </c>
      <c r="HD315" s="5">
        <v>-7.8845194058833806E-2</v>
      </c>
      <c r="HE315" s="5">
        <v>0.12776355711720599</v>
      </c>
      <c r="HF315" s="5">
        <v>-8.6708097327983496E-3</v>
      </c>
      <c r="HG315" s="5">
        <v>1.95440012982106E-2</v>
      </c>
      <c r="HH315" s="5">
        <v>-7.0494203654691799E-3</v>
      </c>
      <c r="HI315" s="5">
        <v>-1.1338427226279301E-2</v>
      </c>
      <c r="HJ315" s="5">
        <v>-3.4715970236783699E-3</v>
      </c>
      <c r="HK315" s="5">
        <v>1.9860130977110101E-2</v>
      </c>
      <c r="HL315" s="5">
        <v>-0.449903149551655</v>
      </c>
      <c r="HM315" s="5">
        <v>0.62896130938821204</v>
      </c>
      <c r="HN315" s="5">
        <v>-3.46486690290796E-2</v>
      </c>
      <c r="HO315" s="5">
        <v>3.1859749023533397E-2</v>
      </c>
      <c r="HP315" s="5">
        <v>8.82140668486735E-2</v>
      </c>
      <c r="HQ315" s="5">
        <v>2.54266835853744E-2</v>
      </c>
      <c r="HR315" s="5">
        <v>-0.18746563594127899</v>
      </c>
      <c r="HS315" s="5">
        <v>0.28861495128335102</v>
      </c>
      <c r="HT315" s="5">
        <v>-6.8138030532741506E-2</v>
      </c>
      <c r="HU315" s="5">
        <v>5.97452326049773E-2</v>
      </c>
      <c r="HV315" s="5">
        <v>-0.352207707352512</v>
      </c>
      <c r="HW315" s="5">
        <v>0.51321622549159196</v>
      </c>
      <c r="HX315" s="5">
        <v>-0.25729691519047698</v>
      </c>
      <c r="HY315" s="5">
        <v>0.48579585317348101</v>
      </c>
      <c r="HZ315" s="5">
        <v>-0.129284188125799</v>
      </c>
      <c r="IA315" s="5">
        <v>0.14774654014081301</v>
      </c>
      <c r="IB315" s="5">
        <v>0.30544255301296402</v>
      </c>
      <c r="IC315" s="5">
        <v>-0.38799010814937002</v>
      </c>
      <c r="ID315" s="5">
        <v>-0.189192680724866</v>
      </c>
      <c r="IE315" s="5">
        <v>0.34465488617006701</v>
      </c>
      <c r="IF315" s="5">
        <v>-0.42285908114486298</v>
      </c>
      <c r="IG315" s="5">
        <v>0.59792411398165002</v>
      </c>
      <c r="IH315" s="5">
        <v>-0.52397571613572502</v>
      </c>
      <c r="II315" s="5">
        <v>0.63316273717132898</v>
      </c>
      <c r="IJ315" s="5">
        <v>-2.0084283683440202E-2</v>
      </c>
      <c r="IK315" s="5">
        <v>7.7356618758847404E-2</v>
      </c>
      <c r="IL315" s="5">
        <v>-0.25017329629627899</v>
      </c>
      <c r="IM315" s="5">
        <v>0.39180024402546798</v>
      </c>
      <c r="IN315" s="5">
        <v>-0.26059338921403302</v>
      </c>
      <c r="IO315" s="5">
        <v>0.47614757606729002</v>
      </c>
      <c r="IP315" s="5">
        <v>-0.40872708152737303</v>
      </c>
      <c r="IQ315" s="5">
        <v>0.55918332991853603</v>
      </c>
      <c r="IR315" s="5">
        <v>1.07475627231675E-2</v>
      </c>
      <c r="IS315" s="5">
        <v>-1.5857882673163799E-2</v>
      </c>
      <c r="IT315" s="5">
        <v>-0.25281472891568002</v>
      </c>
      <c r="IU315" s="5">
        <v>0.38596649959439</v>
      </c>
      <c r="IV315" s="5">
        <v>-0.37706593924056703</v>
      </c>
      <c r="IW315" s="5">
        <v>0.59049592810455498</v>
      </c>
      <c r="IX315" s="5">
        <v>-0.46673019334246602</v>
      </c>
      <c r="IY315" s="5">
        <v>0.62698341467816798</v>
      </c>
      <c r="IZ315" s="5">
        <v>-1.9068874942277499E-2</v>
      </c>
      <c r="JA315" s="5">
        <v>1.7248830167868701E-2</v>
      </c>
      <c r="JB315" s="5">
        <v>-9.9901037002563406E-2</v>
      </c>
      <c r="JC315" s="5">
        <v>0.143465657709654</v>
      </c>
      <c r="JD315" s="5">
        <v>-0.129337951587505</v>
      </c>
      <c r="JE315" s="5">
        <v>0.22091898008765401</v>
      </c>
      <c r="JF315" s="5">
        <v>-0.18531664535909501</v>
      </c>
      <c r="JG315" s="5">
        <v>0.30793149626218702</v>
      </c>
      <c r="JH315" s="5">
        <v>-0.109163560851969</v>
      </c>
      <c r="JI315" s="5">
        <v>0.17019129085891799</v>
      </c>
      <c r="JJ315" s="5">
        <v>-0.48324805442782198</v>
      </c>
      <c r="JK315" s="5">
        <v>0.63781320114558404</v>
      </c>
      <c r="JL315" s="5">
        <v>-0.40189491913953801</v>
      </c>
      <c r="JM315" s="5">
        <v>0.50084555797333796</v>
      </c>
      <c r="JN315" s="5">
        <v>-0.41694748481740102</v>
      </c>
      <c r="JO315" s="5">
        <v>0.57687122222395903</v>
      </c>
      <c r="JP315" s="5">
        <v>-0.33590203237913802</v>
      </c>
      <c r="JQ315" s="5">
        <v>0.56491739350594905</v>
      </c>
      <c r="JR315" s="5">
        <v>-2.96966569188504E-2</v>
      </c>
      <c r="JS315" s="5">
        <v>0.15176067434904</v>
      </c>
      <c r="JT315" s="5">
        <v>0.152852238390767</v>
      </c>
      <c r="JU315" s="5">
        <v>-0.12217494436536799</v>
      </c>
      <c r="JV315" s="5">
        <v>-0.18762966269955</v>
      </c>
      <c r="JW315" s="5">
        <v>0.36212250408289498</v>
      </c>
      <c r="JX315" s="5">
        <v>-5.1768151999649403E-2</v>
      </c>
      <c r="JY315" s="5">
        <v>5.4527236626348501E-2</v>
      </c>
      <c r="JZ315" s="5">
        <v>-0.52359371169073698</v>
      </c>
      <c r="KA315" s="5">
        <v>0.574644240833598</v>
      </c>
      <c r="KB315" s="5">
        <v>2.6937103313231101E-2</v>
      </c>
      <c r="KC315" s="5">
        <v>-6.7444290559366599E-2</v>
      </c>
      <c r="KD315" s="5">
        <v>-0.27191250107619003</v>
      </c>
      <c r="KE315" s="5">
        <v>0.31510837610954101</v>
      </c>
      <c r="KF315" s="5">
        <v>-0.17731631947455001</v>
      </c>
      <c r="KG315" s="5">
        <v>0.243351578735434</v>
      </c>
      <c r="KH315" s="5">
        <v>-5.26185115771102E-2</v>
      </c>
      <c r="KI315" s="5">
        <v>-2.86553208467227E-2</v>
      </c>
      <c r="KJ315" s="5">
        <v>-0.41888488015449299</v>
      </c>
      <c r="KK315" s="5">
        <v>0.48132663141408999</v>
      </c>
      <c r="KL315" s="5">
        <v>1.41585811988066E-2</v>
      </c>
      <c r="KM315" s="5">
        <v>3.1664493786550001E-2</v>
      </c>
      <c r="KN315" s="5">
        <v>-6.7475066475008894E-2</v>
      </c>
      <c r="KO315" s="5">
        <v>7.9767923303960903E-2</v>
      </c>
      <c r="KP315" s="5">
        <v>0.260440971860394</v>
      </c>
      <c r="KQ315" s="5">
        <v>-0.28511609107693298</v>
      </c>
      <c r="KR315" s="5">
        <v>-0.38260464733259503</v>
      </c>
      <c r="KS315" s="5">
        <v>0.56628466167376801</v>
      </c>
      <c r="KT315" s="5">
        <v>-0.45951120664155698</v>
      </c>
      <c r="KU315" s="5">
        <v>0.59128770455769497</v>
      </c>
      <c r="KV315" s="5">
        <v>-0.52075323146463603</v>
      </c>
      <c r="KW315" s="5">
        <v>0.67734733073151199</v>
      </c>
      <c r="KX315" s="5">
        <v>-0.54463025603024395</v>
      </c>
      <c r="KY315" s="5">
        <v>0.715950142100507</v>
      </c>
      <c r="KZ315" s="5">
        <v>-0.268884941645256</v>
      </c>
      <c r="LA315" s="5">
        <v>0.42592736827657002</v>
      </c>
      <c r="LB315" s="5">
        <v>-0.752455317818297</v>
      </c>
      <c r="LC315" s="5">
        <v>1</v>
      </c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</row>
    <row r="316" spans="1:389" x14ac:dyDescent="0.45">
      <c r="A316" s="4" t="str">
        <f ca="1">"SLV / beta1dist in "&amp;CELL("address",'damages-1990'!$J$159)</f>
        <v>SLV / beta1dist in '[BHM betas v3pd.xlsx]damages-1990'!$J$159</v>
      </c>
      <c r="B316" s="6">
        <v>0.118393932018203</v>
      </c>
      <c r="C316" s="5">
        <v>0.28329121834892201</v>
      </c>
      <c r="D316" s="5">
        <v>0.53277587426203998</v>
      </c>
      <c r="E316" s="5">
        <v>-0.215915291508637</v>
      </c>
      <c r="F316" s="5">
        <v>0.13232724029670001</v>
      </c>
      <c r="G316" s="5">
        <v>9.9521011825886893E-2</v>
      </c>
      <c r="H316" s="5">
        <v>-0.20440898923473799</v>
      </c>
      <c r="I316" s="5">
        <v>0.15169867559394401</v>
      </c>
      <c r="J316" s="5">
        <v>0.39220403967313999</v>
      </c>
      <c r="K316" s="5">
        <v>-1.17458411430247E-2</v>
      </c>
      <c r="L316" s="5">
        <v>0.31841530227383802</v>
      </c>
      <c r="M316" s="5">
        <v>4.6584792020146003E-2</v>
      </c>
      <c r="N316" s="5">
        <v>2.2486328116916601E-2</v>
      </c>
      <c r="O316" s="5">
        <v>-6.8017102543182995E-2</v>
      </c>
      <c r="P316" s="5">
        <v>0.16288428744674899</v>
      </c>
      <c r="Q316" s="5">
        <v>9.51359207771715E-3</v>
      </c>
      <c r="R316" s="5">
        <v>0.46061765704728902</v>
      </c>
      <c r="S316" s="5">
        <v>-0.104856853052736</v>
      </c>
      <c r="T316" s="5">
        <v>-6.7329830390406603E-2</v>
      </c>
      <c r="U316" s="5">
        <v>4.8397937177242202E-2</v>
      </c>
      <c r="V316" s="5">
        <v>0.14823625543719099</v>
      </c>
      <c r="W316" s="5">
        <v>0.23768876862098001</v>
      </c>
      <c r="X316" s="5">
        <v>0.45709319082532401</v>
      </c>
      <c r="Y316" s="5">
        <v>-0.13012057945545</v>
      </c>
      <c r="Z316" s="5">
        <v>1.0931852235354599E-2</v>
      </c>
      <c r="AA316" s="5">
        <v>4.4573492832750798E-2</v>
      </c>
      <c r="AB316" s="5">
        <v>0.46507303881573703</v>
      </c>
      <c r="AC316" s="5">
        <v>-0.228652197070082</v>
      </c>
      <c r="AD316" s="5">
        <v>0.43847441377217999</v>
      </c>
      <c r="AE316" s="5">
        <v>-0.18874607305535601</v>
      </c>
      <c r="AF316" s="5">
        <v>0.35888465892076599</v>
      </c>
      <c r="AG316" s="5">
        <v>-9.4334694466211899E-2</v>
      </c>
      <c r="AH316" s="5">
        <v>9.1495813545265495E-2</v>
      </c>
      <c r="AI316" s="5">
        <v>7.9470638567058896E-2</v>
      </c>
      <c r="AJ316" s="5">
        <v>0.36944358254183102</v>
      </c>
      <c r="AK316" s="5">
        <v>1.7487034446639901E-2</v>
      </c>
      <c r="AL316" s="5">
        <v>0.53664722526609798</v>
      </c>
      <c r="AM316" s="5">
        <v>-0.39994508221285302</v>
      </c>
      <c r="AN316" s="5">
        <v>7.4680699779412002E-3</v>
      </c>
      <c r="AO316" s="5">
        <v>7.7194132464377396E-2</v>
      </c>
      <c r="AP316" s="5">
        <v>-6.5072031355457402E-2</v>
      </c>
      <c r="AQ316" s="5">
        <v>3.85092253603063E-2</v>
      </c>
      <c r="AR316" s="5">
        <v>0.85731468269119104</v>
      </c>
      <c r="AS316" s="5">
        <v>-0.70855342251996301</v>
      </c>
      <c r="AT316" s="5">
        <v>0.313281408580392</v>
      </c>
      <c r="AU316" s="5">
        <v>-0.116891839034216</v>
      </c>
      <c r="AV316" s="5">
        <v>0.60365353223880602</v>
      </c>
      <c r="AW316" s="5">
        <v>-0.32726412964950102</v>
      </c>
      <c r="AX316" s="5">
        <v>0.68782713018040198</v>
      </c>
      <c r="AY316" s="5">
        <v>-0.46330382818371701</v>
      </c>
      <c r="AZ316" s="5">
        <v>0.27955807667764399</v>
      </c>
      <c r="BA316" s="5">
        <v>-0.115646195529232</v>
      </c>
      <c r="BB316" s="5">
        <v>0.53137534745479298</v>
      </c>
      <c r="BC316" s="5">
        <v>-0.20129905644461599</v>
      </c>
      <c r="BD316" s="5">
        <v>7.42499288020423E-2</v>
      </c>
      <c r="BE316" s="5">
        <v>0.26051533738503801</v>
      </c>
      <c r="BF316" s="5">
        <v>0.44637720754356403</v>
      </c>
      <c r="BG316" s="5">
        <v>-0.167207877577772</v>
      </c>
      <c r="BH316" s="5">
        <v>0.53958617051123903</v>
      </c>
      <c r="BI316" s="5">
        <v>-0.240682395799452</v>
      </c>
      <c r="BJ316" s="5">
        <v>-0.19681014583217399</v>
      </c>
      <c r="BK316" s="5">
        <v>3.78209669980651E-2</v>
      </c>
      <c r="BL316" s="5">
        <v>-5.6086478862486598E-2</v>
      </c>
      <c r="BM316" s="5">
        <v>9.2008427419762104E-4</v>
      </c>
      <c r="BN316" s="5">
        <v>-0.16402767690052</v>
      </c>
      <c r="BO316" s="5">
        <v>0.24796900630025401</v>
      </c>
      <c r="BP316" s="5">
        <v>-0.17468396600231301</v>
      </c>
      <c r="BQ316" s="5">
        <v>0.27808027960759002</v>
      </c>
      <c r="BR316" s="5">
        <v>0.46914223759889401</v>
      </c>
      <c r="BS316" s="5">
        <v>-0.246758077923141</v>
      </c>
      <c r="BT316" s="5">
        <v>0.61142091251245201</v>
      </c>
      <c r="BU316" s="5">
        <v>-0.33158771036403401</v>
      </c>
      <c r="BV316" s="5">
        <v>0.57068208279829202</v>
      </c>
      <c r="BW316" s="5">
        <v>-0.28174949483103301</v>
      </c>
      <c r="BX316" s="5">
        <v>0.52268972205277797</v>
      </c>
      <c r="BY316" s="5">
        <v>-0.30501658000568599</v>
      </c>
      <c r="BZ316" s="5">
        <v>0.60462720429044603</v>
      </c>
      <c r="CA316" s="5">
        <v>-0.35001459591872303</v>
      </c>
      <c r="CB316" s="5">
        <v>0.54013495902817299</v>
      </c>
      <c r="CC316" s="5">
        <v>-0.338351178417793</v>
      </c>
      <c r="CD316" s="5">
        <v>0.12189175155763</v>
      </c>
      <c r="CE316" s="5">
        <v>0.142831275761336</v>
      </c>
      <c r="CF316" s="5">
        <v>0.65150357592516395</v>
      </c>
      <c r="CG316" s="5">
        <v>-0.45046135887188199</v>
      </c>
      <c r="CH316" s="5">
        <v>0.60713932346636301</v>
      </c>
      <c r="CI316" s="5">
        <v>-0.52824571810156995</v>
      </c>
      <c r="CJ316" s="5">
        <v>0.17080396394675301</v>
      </c>
      <c r="CK316" s="5">
        <v>8.3402481115430999E-2</v>
      </c>
      <c r="CL316" s="5">
        <v>-3.0922532076233401E-2</v>
      </c>
      <c r="CM316" s="5">
        <v>4.73427758277149E-2</v>
      </c>
      <c r="CN316" s="5">
        <v>-2.0437273581492802E-3</v>
      </c>
      <c r="CO316" s="5">
        <v>2.9776313302474999E-2</v>
      </c>
      <c r="CP316" s="5">
        <v>0.32840410789862301</v>
      </c>
      <c r="CQ316" s="5">
        <v>-8.9742053683796202E-2</v>
      </c>
      <c r="CR316" s="5">
        <v>0.20908401991186301</v>
      </c>
      <c r="CS316" s="5">
        <v>-3.5374179786707399E-2</v>
      </c>
      <c r="CT316" s="5">
        <v>2.6204056693058701E-2</v>
      </c>
      <c r="CU316" s="5">
        <v>-5.5738446461668298E-2</v>
      </c>
      <c r="CV316" s="5">
        <v>0.41842575040075303</v>
      </c>
      <c r="CW316" s="5">
        <v>-0.24204561132379401</v>
      </c>
      <c r="CX316" s="5">
        <v>0.481772508432879</v>
      </c>
      <c r="CY316" s="5">
        <v>-0.17374896928276401</v>
      </c>
      <c r="CZ316" s="5">
        <v>0.580052157832048</v>
      </c>
      <c r="DA316" s="5">
        <v>-0.33853091849504302</v>
      </c>
      <c r="DB316" s="5">
        <v>0.28879374895422599</v>
      </c>
      <c r="DC316" s="5">
        <v>0.13246928696614599</v>
      </c>
      <c r="DD316" s="5">
        <v>0.247307516316777</v>
      </c>
      <c r="DE316" s="5">
        <v>1.8553436449303299E-2</v>
      </c>
      <c r="DF316" s="5">
        <v>0.34389463956377098</v>
      </c>
      <c r="DG316" s="5">
        <v>-3.6232657525475102E-2</v>
      </c>
      <c r="DH316" s="5">
        <v>0.256732800463434</v>
      </c>
      <c r="DI316" s="5">
        <v>2.6585777057990301E-2</v>
      </c>
      <c r="DJ316" s="5">
        <v>-5.8869276823922297E-2</v>
      </c>
      <c r="DK316" s="5">
        <v>2.42321092696441E-3</v>
      </c>
      <c r="DL316" s="5">
        <v>0.42008969338665297</v>
      </c>
      <c r="DM316" s="5">
        <v>-9.7435736487205396E-2</v>
      </c>
      <c r="DN316" s="5">
        <v>-0.16744887971740599</v>
      </c>
      <c r="DO316" s="5">
        <v>8.0475593078313201E-2</v>
      </c>
      <c r="DP316" s="5">
        <v>0.32831907068738397</v>
      </c>
      <c r="DQ316" s="5">
        <v>-7.2007633183833894E-2</v>
      </c>
      <c r="DR316" s="5">
        <v>7.7119867063075595E-2</v>
      </c>
      <c r="DS316" s="5">
        <v>7.35359927265965E-2</v>
      </c>
      <c r="DT316" s="5">
        <v>0.39054386336881902</v>
      </c>
      <c r="DU316" s="5">
        <v>-0.18300750771414701</v>
      </c>
      <c r="DV316" s="5">
        <v>0.33654858027811202</v>
      </c>
      <c r="DW316" s="5">
        <v>-0.12800869020090699</v>
      </c>
      <c r="DX316" s="5">
        <v>-0.16135317753118</v>
      </c>
      <c r="DY316" s="5">
        <v>0.193513183971987</v>
      </c>
      <c r="DZ316" s="5">
        <v>4.8836210139519803E-2</v>
      </c>
      <c r="EA316" s="5">
        <v>-7.9363186753680606E-2</v>
      </c>
      <c r="EB316" s="5">
        <v>0.54036436901941398</v>
      </c>
      <c r="EC316" s="5">
        <v>-0.27631863718598398</v>
      </c>
      <c r="ED316" s="5">
        <v>0.50682460315348299</v>
      </c>
      <c r="EE316" s="5">
        <v>-0.22112499819758699</v>
      </c>
      <c r="EF316" s="5">
        <v>0.18828701073238799</v>
      </c>
      <c r="EG316" s="5">
        <v>-1.9130921562214898E-2</v>
      </c>
      <c r="EH316" s="5">
        <v>0.48292558939670499</v>
      </c>
      <c r="EI316" s="5">
        <v>-0.16525815067098101</v>
      </c>
      <c r="EJ316" s="5">
        <v>0.44535150760895098</v>
      </c>
      <c r="EK316" s="5">
        <v>-0.12899901931909599</v>
      </c>
      <c r="EL316" s="5">
        <v>0.58619818732823004</v>
      </c>
      <c r="EM316" s="5">
        <v>-0.34247296632235302</v>
      </c>
      <c r="EN316" s="5">
        <v>0.22233937893320299</v>
      </c>
      <c r="EO316" s="5">
        <v>2.9375158615715199E-2</v>
      </c>
      <c r="EP316" s="5">
        <v>0.30083548107239599</v>
      </c>
      <c r="EQ316" s="5">
        <v>-0.116954430181773</v>
      </c>
      <c r="ER316" s="5">
        <v>0.86225361580821103</v>
      </c>
      <c r="ES316" s="5">
        <v>-0.67726959776660201</v>
      </c>
      <c r="ET316" s="5">
        <v>0.54762279746009901</v>
      </c>
      <c r="EU316" s="5">
        <v>-0.36462424150383999</v>
      </c>
      <c r="EV316" s="5">
        <v>0.63630476646713996</v>
      </c>
      <c r="EW316" s="5">
        <v>-0.44095469044091301</v>
      </c>
      <c r="EX316" s="5">
        <v>0.40570666645940501</v>
      </c>
      <c r="EY316" s="5">
        <v>-0.24359118984295999</v>
      </c>
      <c r="EZ316" s="5">
        <v>0.86658605541421396</v>
      </c>
      <c r="FA316" s="5">
        <v>-0.65308743435302397</v>
      </c>
      <c r="FB316" s="5">
        <v>0.12746037653151299</v>
      </c>
      <c r="FC316" s="5">
        <v>3.2598202900349697E-2</v>
      </c>
      <c r="FD316" s="5">
        <v>0.54505994963778703</v>
      </c>
      <c r="FE316" s="5">
        <v>-0.37452389619948401</v>
      </c>
      <c r="FF316" s="5">
        <v>6.8555064918757805E-2</v>
      </c>
      <c r="FG316" s="5">
        <v>5.9420526165963501E-2</v>
      </c>
      <c r="FH316" s="5">
        <v>0.60085796178100703</v>
      </c>
      <c r="FI316" s="5">
        <v>-0.43033087704654599</v>
      </c>
      <c r="FJ316" s="5">
        <v>0.387533132042994</v>
      </c>
      <c r="FK316" s="5">
        <v>4.4477691263349302E-3</v>
      </c>
      <c r="FL316" s="5">
        <v>-0.206946485476107</v>
      </c>
      <c r="FM316" s="5">
        <v>0.26868407094365798</v>
      </c>
      <c r="FN316" s="5">
        <v>0.30781210859167002</v>
      </c>
      <c r="FO316" s="5">
        <v>8.3729713585871099E-2</v>
      </c>
      <c r="FP316" s="5">
        <v>0.395545164321009</v>
      </c>
      <c r="FQ316" s="5">
        <v>-3.2757649615585298E-2</v>
      </c>
      <c r="FR316" s="5">
        <v>-0.130200050715714</v>
      </c>
      <c r="FS316" s="5">
        <v>1.42030787156268E-2</v>
      </c>
      <c r="FT316" s="5">
        <v>0.33091359009849802</v>
      </c>
      <c r="FU316" s="5">
        <v>5.5712136614829301E-2</v>
      </c>
      <c r="FV316" s="5">
        <v>0.21550861157019399</v>
      </c>
      <c r="FW316" s="5">
        <v>7.3385836652507799E-3</v>
      </c>
      <c r="FX316" s="5">
        <v>0.59309376216865695</v>
      </c>
      <c r="FY316" s="5">
        <v>-0.42551367544132501</v>
      </c>
      <c r="FZ316" s="5">
        <v>0.36232373178084198</v>
      </c>
      <c r="GA316" s="5">
        <v>4.6340327288734003E-2</v>
      </c>
      <c r="GB316" s="5">
        <v>9.5692370208656799E-2</v>
      </c>
      <c r="GC316" s="5">
        <v>0.115197101742326</v>
      </c>
      <c r="GD316" s="5">
        <v>-0.10507745852519799</v>
      </c>
      <c r="GE316" s="5">
        <v>8.8175066892847306E-2</v>
      </c>
      <c r="GF316" s="5">
        <v>0.49935956779537999</v>
      </c>
      <c r="GG316" s="5">
        <v>-0.18446924811204399</v>
      </c>
      <c r="GH316" s="5">
        <v>-0.28225694449379002</v>
      </c>
      <c r="GI316" s="5">
        <v>0.179143932354034</v>
      </c>
      <c r="GJ316" s="5">
        <v>0.58872353672467104</v>
      </c>
      <c r="GK316" s="5">
        <v>-0.405376035592319</v>
      </c>
      <c r="GL316" s="5">
        <v>0.13925299234011401</v>
      </c>
      <c r="GM316" s="5">
        <v>3.6753090273309898E-2</v>
      </c>
      <c r="GN316" s="5">
        <v>0.11765888812398401</v>
      </c>
      <c r="GO316" s="5">
        <v>0.13786613923476301</v>
      </c>
      <c r="GP316" s="5">
        <v>0.45035882710031999</v>
      </c>
      <c r="GQ316" s="5">
        <v>-9.6221726697738597E-2</v>
      </c>
      <c r="GR316" s="5">
        <v>0.50645202391381805</v>
      </c>
      <c r="GS316" s="5">
        <v>-0.35006891966602499</v>
      </c>
      <c r="GT316" s="5">
        <v>0.26062621673013697</v>
      </c>
      <c r="GU316" s="5">
        <v>6.0382415336858099E-2</v>
      </c>
      <c r="GV316" s="5">
        <v>0.40654633573294802</v>
      </c>
      <c r="GW316" s="5">
        <v>-0.234039015188925</v>
      </c>
      <c r="GX316" s="5">
        <v>0.33747201860064102</v>
      </c>
      <c r="GY316" s="5">
        <v>-4.6670411847400103E-2</v>
      </c>
      <c r="GZ316" s="5">
        <v>-5.11975892734952E-2</v>
      </c>
      <c r="HA316" s="5">
        <v>-1.84169046203685E-3</v>
      </c>
      <c r="HB316" s="5">
        <v>0.46360969851746497</v>
      </c>
      <c r="HC316" s="5">
        <v>-0.22260081353955799</v>
      </c>
      <c r="HD316" s="5">
        <v>0.108043669393538</v>
      </c>
      <c r="HE316" s="5">
        <v>0.236042637810469</v>
      </c>
      <c r="HF316" s="5">
        <v>-7.6490849050642504E-2</v>
      </c>
      <c r="HG316" s="5">
        <v>4.9047867457345899E-2</v>
      </c>
      <c r="HH316" s="5">
        <v>-1.8259094875273399E-2</v>
      </c>
      <c r="HI316" s="5">
        <v>6.8539190586518597E-2</v>
      </c>
      <c r="HJ316" s="5">
        <v>-5.3595091058252102E-2</v>
      </c>
      <c r="HK316" s="5">
        <v>7.7734639539759898E-3</v>
      </c>
      <c r="HL316" s="5">
        <v>0.387648727555436</v>
      </c>
      <c r="HM316" s="5">
        <v>-6.5335042621001496E-2</v>
      </c>
      <c r="HN316" s="5">
        <v>7.3980630217163904E-2</v>
      </c>
      <c r="HO316" s="5">
        <v>2.6015364640097498E-2</v>
      </c>
      <c r="HP316" s="5">
        <v>0.35037263325110501</v>
      </c>
      <c r="HQ316" s="5">
        <v>-8.8739356417419195E-3</v>
      </c>
      <c r="HR316" s="5">
        <v>0.58769880603615599</v>
      </c>
      <c r="HS316" s="5">
        <v>-0.34781477611302802</v>
      </c>
      <c r="HT316" s="5">
        <v>4.7980356704875701E-2</v>
      </c>
      <c r="HU316" s="5">
        <v>0.116989324110544</v>
      </c>
      <c r="HV316" s="5">
        <v>0.42154992048191298</v>
      </c>
      <c r="HW316" s="5">
        <v>-0.15637583792946499</v>
      </c>
      <c r="HX316" s="5">
        <v>0.44580514124083098</v>
      </c>
      <c r="HY316" s="5">
        <v>-0.16644132322857499</v>
      </c>
      <c r="HZ316" s="5">
        <v>-6.0424208462829601E-2</v>
      </c>
      <c r="IA316" s="5">
        <v>0.11252942840928</v>
      </c>
      <c r="IB316" s="5">
        <v>-0.35116960783033202</v>
      </c>
      <c r="IC316" s="5">
        <v>0.27652212696491801</v>
      </c>
      <c r="ID316" s="5">
        <v>0.40186678732505798</v>
      </c>
      <c r="IE316" s="5">
        <v>-2.9632549943652199E-2</v>
      </c>
      <c r="IF316" s="5">
        <v>0.40706899368065402</v>
      </c>
      <c r="IG316" s="5">
        <v>-8.6508405375108594E-2</v>
      </c>
      <c r="IH316" s="5">
        <v>0.24518911670506799</v>
      </c>
      <c r="II316" s="5">
        <v>-7.3293498326474804E-2</v>
      </c>
      <c r="IJ316" s="5">
        <v>0.50214471384690995</v>
      </c>
      <c r="IK316" s="5">
        <v>-0.38140914353176802</v>
      </c>
      <c r="IL316" s="5">
        <v>0.36529995771329798</v>
      </c>
      <c r="IM316" s="5">
        <v>9.0825733706538792E-3</v>
      </c>
      <c r="IN316" s="5">
        <v>0.65233882680857003</v>
      </c>
      <c r="IO316" s="5">
        <v>-0.422736385307525</v>
      </c>
      <c r="IP316" s="5">
        <v>0.48384100940096098</v>
      </c>
      <c r="IQ316" s="5">
        <v>-0.147808903741316</v>
      </c>
      <c r="IR316" s="5">
        <v>0.27163065764167799</v>
      </c>
      <c r="IS316" s="5">
        <v>2.2588960409454001E-3</v>
      </c>
      <c r="IT316" s="5">
        <v>0.351195342282203</v>
      </c>
      <c r="IU316" s="5">
        <v>-6.75794610660507E-2</v>
      </c>
      <c r="IV316" s="5">
        <v>0.42984911397781</v>
      </c>
      <c r="IW316" s="5">
        <v>-0.190430554787032</v>
      </c>
      <c r="IX316" s="5">
        <v>0.78911690402193502</v>
      </c>
      <c r="IY316" s="5">
        <v>-0.57431718123581699</v>
      </c>
      <c r="IZ316" s="5">
        <v>6.0819807751188101E-2</v>
      </c>
      <c r="JA316" s="5">
        <v>-3.5400870849312198E-2</v>
      </c>
      <c r="JB316" s="5">
        <v>-0.23095235355558699</v>
      </c>
      <c r="JC316" s="5">
        <v>0.14395246393116601</v>
      </c>
      <c r="JD316" s="5">
        <v>0.157921126039864</v>
      </c>
      <c r="JE316" s="5">
        <v>0.27123549093836902</v>
      </c>
      <c r="JF316" s="5">
        <v>0.353692908647393</v>
      </c>
      <c r="JG316" s="5">
        <v>-0.23708804198125999</v>
      </c>
      <c r="JH316" s="5">
        <v>0.13942084678116601</v>
      </c>
      <c r="JI316" s="5">
        <v>-7.5409570284855398E-2</v>
      </c>
      <c r="JJ316" s="5">
        <v>0.40884474456704301</v>
      </c>
      <c r="JK316" s="5">
        <v>7.6247381568710403E-3</v>
      </c>
      <c r="JL316" s="5">
        <v>0.34604650926447</v>
      </c>
      <c r="JM316" s="5">
        <v>3.5684472751282503E-2</v>
      </c>
      <c r="JN316" s="5">
        <v>0.63056887735854295</v>
      </c>
      <c r="JO316" s="5">
        <v>-0.44598957547676099</v>
      </c>
      <c r="JP316" s="5">
        <v>0.58939876573642702</v>
      </c>
      <c r="JQ316" s="5">
        <v>-0.28531070389967</v>
      </c>
      <c r="JR316" s="5">
        <v>0.54541498565796598</v>
      </c>
      <c r="JS316" s="5">
        <v>-0.23076998884581701</v>
      </c>
      <c r="JT316" s="5">
        <v>0.223850250161541</v>
      </c>
      <c r="JU316" s="5">
        <v>3.4652808463107802E-2</v>
      </c>
      <c r="JV316" s="5">
        <v>0.46694030891259602</v>
      </c>
      <c r="JW316" s="5">
        <v>-0.13797794685461501</v>
      </c>
      <c r="JX316" s="5">
        <v>-4.2536567150235502E-2</v>
      </c>
      <c r="JY316" s="5">
        <v>5.8489094828977899E-2</v>
      </c>
      <c r="JZ316" s="5">
        <v>0.25567255277702</v>
      </c>
      <c r="KA316" s="5">
        <v>-7.55333788849257E-2</v>
      </c>
      <c r="KB316" s="5">
        <v>-8.0841620764715197E-2</v>
      </c>
      <c r="KC316" s="5">
        <v>3.7865925869538901E-2</v>
      </c>
      <c r="KD316" s="5">
        <v>0.27525900217944899</v>
      </c>
      <c r="KE316" s="5">
        <v>1.8285154298413198E-2</v>
      </c>
      <c r="KF316" s="5">
        <v>0.62113608433961698</v>
      </c>
      <c r="KG316" s="5">
        <v>-0.44169497939500801</v>
      </c>
      <c r="KH316" s="5">
        <v>0.32132002362602502</v>
      </c>
      <c r="KI316" s="5">
        <v>5.9739594770108199E-2</v>
      </c>
      <c r="KJ316" s="5">
        <v>0.35271338735771002</v>
      </c>
      <c r="KK316" s="5">
        <v>3.2335302617024803E-2</v>
      </c>
      <c r="KL316" s="5">
        <v>0.484521406594701</v>
      </c>
      <c r="KM316" s="5">
        <v>-0.32977046644882801</v>
      </c>
      <c r="KN316" s="5">
        <v>3.6433527345372499E-3</v>
      </c>
      <c r="KO316" s="5">
        <v>7.9916495195510806E-2</v>
      </c>
      <c r="KP316" s="5">
        <v>-0.39680060692708202</v>
      </c>
      <c r="KQ316" s="5">
        <v>0.27635292740876899</v>
      </c>
      <c r="KR316" s="5">
        <v>0.47737729012492902</v>
      </c>
      <c r="KS316" s="5">
        <v>-0.204702007305721</v>
      </c>
      <c r="KT316" s="5">
        <v>0.41321323188126802</v>
      </c>
      <c r="KU316" s="5">
        <v>-4.3278164355455603E-2</v>
      </c>
      <c r="KV316" s="5">
        <v>0.34334525941999</v>
      </c>
      <c r="KW316" s="5">
        <v>-4.7493371995694401E-2</v>
      </c>
      <c r="KX316" s="5">
        <v>0.46076555794500801</v>
      </c>
      <c r="KY316" s="5">
        <v>-0.13882390242564199</v>
      </c>
      <c r="KZ316" s="5">
        <v>0.281076446298617</v>
      </c>
      <c r="LA316" s="5">
        <v>-6.8001780813505205E-2</v>
      </c>
      <c r="LB316" s="5">
        <v>0.56599956133196805</v>
      </c>
      <c r="LC316" s="5">
        <v>-0.28144467493662401</v>
      </c>
      <c r="LD316" s="5">
        <v>1</v>
      </c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</row>
    <row r="317" spans="1:389" x14ac:dyDescent="0.45">
      <c r="A317" s="4" t="str">
        <f ca="1">"SLV / beta2dist in "&amp;CELL("address",'damages-1990'!$K$159)</f>
        <v>SLV / beta2dist in '[BHM betas v3pd.xlsx]damages-1990'!$K$159</v>
      </c>
      <c r="B317" s="6">
        <v>1.9611747716130199E-2</v>
      </c>
      <c r="C317" s="5">
        <v>-6.1695827159431303E-2</v>
      </c>
      <c r="D317" s="5">
        <v>-0.28882040194028602</v>
      </c>
      <c r="E317" s="5">
        <v>0.43510208530363498</v>
      </c>
      <c r="F317" s="5">
        <v>-5.4329367370049703E-2</v>
      </c>
      <c r="G317" s="5">
        <v>6.0592649325934597E-2</v>
      </c>
      <c r="H317" s="5">
        <v>8.2231725559581595E-2</v>
      </c>
      <c r="I317" s="5">
        <v>-9.8915731700475407E-2</v>
      </c>
      <c r="J317" s="5">
        <v>-9.4199592894232395E-2</v>
      </c>
      <c r="K317" s="5">
        <v>0.12073891675263</v>
      </c>
      <c r="L317" s="5">
        <v>-4.0511899010851199E-2</v>
      </c>
      <c r="M317" s="5">
        <v>2.2763822097216701E-3</v>
      </c>
      <c r="N317" s="5">
        <v>-0.10347971552452299</v>
      </c>
      <c r="O317" s="5">
        <v>0.15253208630383799</v>
      </c>
      <c r="P317" s="5">
        <v>-0.144693916489296</v>
      </c>
      <c r="Q317" s="5">
        <v>0.216143261499469</v>
      </c>
      <c r="R317" s="5">
        <v>-0.16726880708653399</v>
      </c>
      <c r="S317" s="5">
        <v>0.24880364769702301</v>
      </c>
      <c r="T317" s="5">
        <v>-6.3561311942700593E-2</v>
      </c>
      <c r="U317" s="5">
        <v>8.0607244038830697E-2</v>
      </c>
      <c r="V317" s="5">
        <v>3.1752306240608298E-2</v>
      </c>
      <c r="W317" s="5">
        <v>-0.111418405919468</v>
      </c>
      <c r="X317" s="5">
        <v>-0.25982930664388099</v>
      </c>
      <c r="Y317" s="5">
        <v>0.36628094828137597</v>
      </c>
      <c r="Z317" s="5">
        <v>-6.4224979651159503E-2</v>
      </c>
      <c r="AA317" s="5">
        <v>0.100694108213813</v>
      </c>
      <c r="AB317" s="5">
        <v>-0.25610702017293502</v>
      </c>
      <c r="AC317" s="5">
        <v>0.397743411270431</v>
      </c>
      <c r="AD317" s="5">
        <v>-0.26256546281395399</v>
      </c>
      <c r="AE317" s="5">
        <v>0.40258075575265301</v>
      </c>
      <c r="AF317" s="5">
        <v>-9.9473772407159405E-2</v>
      </c>
      <c r="AG317" s="5">
        <v>0.187530564979389</v>
      </c>
      <c r="AH317" s="5">
        <v>-4.8142341595003801E-2</v>
      </c>
      <c r="AI317" s="5">
        <v>6.9155498117932104E-2</v>
      </c>
      <c r="AJ317" s="5">
        <v>-0.13262950734916201</v>
      </c>
      <c r="AK317" s="5">
        <v>0.12001772889345801</v>
      </c>
      <c r="AL317" s="5">
        <v>-0.26785380641645401</v>
      </c>
      <c r="AM317" s="5">
        <v>0.35196989092860298</v>
      </c>
      <c r="AN317" s="5">
        <v>-6.2743383261936597E-2</v>
      </c>
      <c r="AO317" s="5">
        <v>8.9355448088731596E-2</v>
      </c>
      <c r="AP317" s="5">
        <v>-0.103649732357232</v>
      </c>
      <c r="AQ317" s="5">
        <v>0.15348664462363301</v>
      </c>
      <c r="AR317" s="5">
        <v>-0.61872190200385602</v>
      </c>
      <c r="AS317" s="5">
        <v>0.82578620848937301</v>
      </c>
      <c r="AT317" s="5">
        <v>-1.4521202143265599E-2</v>
      </c>
      <c r="AU317" s="5">
        <v>5.6351275157020897E-3</v>
      </c>
      <c r="AV317" s="5">
        <v>-0.26030685212351501</v>
      </c>
      <c r="AW317" s="5">
        <v>0.44124089731930199</v>
      </c>
      <c r="AX317" s="5">
        <v>-0.37636747893116401</v>
      </c>
      <c r="AY317" s="5">
        <v>0.61868136619201897</v>
      </c>
      <c r="AZ317" s="5">
        <v>-0.19874824501083099</v>
      </c>
      <c r="BA317" s="5">
        <v>0.27643907407796497</v>
      </c>
      <c r="BB317" s="5">
        <v>-0.23218053745546299</v>
      </c>
      <c r="BC317" s="5">
        <v>0.34583442842656298</v>
      </c>
      <c r="BD317" s="5">
        <v>-4.9195285298956601E-2</v>
      </c>
      <c r="BE317" s="5">
        <v>3.9055975021978002E-2</v>
      </c>
      <c r="BF317" s="5">
        <v>-0.229035617522618</v>
      </c>
      <c r="BG317" s="5">
        <v>0.30601455378692999</v>
      </c>
      <c r="BH317" s="5">
        <v>-0.27928081237672298</v>
      </c>
      <c r="BI317" s="5">
        <v>0.434755094447769</v>
      </c>
      <c r="BJ317" s="5">
        <v>-8.3107859545494295E-2</v>
      </c>
      <c r="BK317" s="5">
        <v>4.82540152061934E-2</v>
      </c>
      <c r="BL317" s="5">
        <v>-0.10259392869553099</v>
      </c>
      <c r="BM317" s="5">
        <v>0.12513744687803199</v>
      </c>
      <c r="BN317" s="5">
        <v>7.1532628706875601E-2</v>
      </c>
      <c r="BO317" s="5">
        <v>-0.112048055237513</v>
      </c>
      <c r="BP317" s="5">
        <v>6.4035214353034497E-2</v>
      </c>
      <c r="BQ317" s="5">
        <v>-0.14473902258562499</v>
      </c>
      <c r="BR317" s="5">
        <v>-0.35446317933093002</v>
      </c>
      <c r="BS317" s="5">
        <v>0.51038647452684205</v>
      </c>
      <c r="BT317" s="5">
        <v>-0.32835928195020597</v>
      </c>
      <c r="BU317" s="5">
        <v>0.52298824087750795</v>
      </c>
      <c r="BV317" s="5">
        <v>-0.33734180587895501</v>
      </c>
      <c r="BW317" s="5">
        <v>0.51593622499612701</v>
      </c>
      <c r="BX317" s="5">
        <v>-0.29422865198658599</v>
      </c>
      <c r="BY317" s="5">
        <v>0.50965744390255796</v>
      </c>
      <c r="BZ317" s="5">
        <v>-0.36727388414703599</v>
      </c>
      <c r="CA317" s="5">
        <v>0.54036694191148205</v>
      </c>
      <c r="CB317" s="5">
        <v>-0.37644806528826602</v>
      </c>
      <c r="CC317" s="5">
        <v>0.48584371160814599</v>
      </c>
      <c r="CD317" s="5">
        <v>3.80821759978099E-2</v>
      </c>
      <c r="CE317" s="5">
        <v>-7.4100121509658196E-2</v>
      </c>
      <c r="CF317" s="5">
        <v>-0.52639362199926798</v>
      </c>
      <c r="CG317" s="5">
        <v>0.62660760720985598</v>
      </c>
      <c r="CH317" s="5">
        <v>-0.350597064776006</v>
      </c>
      <c r="CI317" s="5">
        <v>0.48708183532787303</v>
      </c>
      <c r="CJ317" s="5">
        <v>-5.5430569531939302E-3</v>
      </c>
      <c r="CK317" s="5">
        <v>-1.6971297776004399E-2</v>
      </c>
      <c r="CL317" s="5">
        <v>-5.2363582933181801E-2</v>
      </c>
      <c r="CM317" s="5">
        <v>7.3796607004705098E-2</v>
      </c>
      <c r="CN317" s="5">
        <v>-7.3202111071402495E-2</v>
      </c>
      <c r="CO317" s="5">
        <v>0.106830067388429</v>
      </c>
      <c r="CP317" s="5">
        <v>-0.24021635130531199</v>
      </c>
      <c r="CQ317" s="5">
        <v>0.30179077847477098</v>
      </c>
      <c r="CR317" s="5">
        <v>-0.17499719798558999</v>
      </c>
      <c r="CS317" s="5">
        <v>0.26155121237037099</v>
      </c>
      <c r="CT317" s="5">
        <v>-0.145623994774186</v>
      </c>
      <c r="CU317" s="5">
        <v>0.20054970034139699</v>
      </c>
      <c r="CV317" s="5">
        <v>-0.318260629015434</v>
      </c>
      <c r="CW317" s="5">
        <v>0.432540584891563</v>
      </c>
      <c r="CX317" s="5">
        <v>-0.2431496440067</v>
      </c>
      <c r="CY317" s="5">
        <v>0.343808396652034</v>
      </c>
      <c r="CZ317" s="5">
        <v>-0.37564431785733798</v>
      </c>
      <c r="DA317" s="5">
        <v>0.52119466616742804</v>
      </c>
      <c r="DB317" s="5">
        <v>6.6609194937122199E-4</v>
      </c>
      <c r="DC317" s="5">
        <v>-2.5441388817868699E-2</v>
      </c>
      <c r="DD317" s="5">
        <v>-9.0525122047401305E-2</v>
      </c>
      <c r="DE317" s="5">
        <v>0.183434495499256</v>
      </c>
      <c r="DF317" s="5">
        <v>-0.104900178341402</v>
      </c>
      <c r="DG317" s="5">
        <v>0.14017869863461099</v>
      </c>
      <c r="DH317" s="5">
        <v>-0.14449991001907</v>
      </c>
      <c r="DI317" s="5">
        <v>0.19237096242064</v>
      </c>
      <c r="DJ317" s="5">
        <v>-0.14997121684280701</v>
      </c>
      <c r="DK317" s="5">
        <v>0.19975230101122499</v>
      </c>
      <c r="DL317" s="5">
        <v>-0.215526966065574</v>
      </c>
      <c r="DM317" s="5">
        <v>0.32799144843839401</v>
      </c>
      <c r="DN317" s="5">
        <v>-7.2293503875035497E-2</v>
      </c>
      <c r="DO317" s="5">
        <v>9.0211249463951496E-2</v>
      </c>
      <c r="DP317" s="5">
        <v>5.1750246906769902E-2</v>
      </c>
      <c r="DQ317" s="5">
        <v>-5.5156408576689298E-2</v>
      </c>
      <c r="DR317" s="5">
        <v>-7.2641746945016697E-2</v>
      </c>
      <c r="DS317" s="5">
        <v>0.105594458229433</v>
      </c>
      <c r="DT317" s="5">
        <v>-0.33085806180149702</v>
      </c>
      <c r="DU317" s="5">
        <v>0.318015783532765</v>
      </c>
      <c r="DV317" s="5">
        <v>-0.16743959667498101</v>
      </c>
      <c r="DW317" s="5">
        <v>0.315718741975138</v>
      </c>
      <c r="DX317" s="5">
        <v>7.0945309625807806E-2</v>
      </c>
      <c r="DY317" s="5">
        <v>-7.5933324048123502E-2</v>
      </c>
      <c r="DZ317" s="5">
        <v>-0.126625442503012</v>
      </c>
      <c r="EA317" s="5">
        <v>0.19954048397968199</v>
      </c>
      <c r="EB317" s="5">
        <v>-0.36709711766792102</v>
      </c>
      <c r="EC317" s="5">
        <v>0.50029331105082997</v>
      </c>
      <c r="ED317" s="5">
        <v>-0.31164068921034199</v>
      </c>
      <c r="EE317" s="5">
        <v>0.446582145600873</v>
      </c>
      <c r="EF317" s="5">
        <v>-0.18220053740926401</v>
      </c>
      <c r="EG317" s="5">
        <v>0.25221926252184601</v>
      </c>
      <c r="EH317" s="5">
        <v>-0.22843262993222499</v>
      </c>
      <c r="EI317" s="5">
        <v>0.338170421177173</v>
      </c>
      <c r="EJ317" s="5">
        <v>-0.208022134699095</v>
      </c>
      <c r="EK317" s="5">
        <v>0.32459609975418902</v>
      </c>
      <c r="EL317" s="5">
        <v>-0.31111036504530398</v>
      </c>
      <c r="EM317" s="5">
        <v>0.47212831871857303</v>
      </c>
      <c r="EN317" s="5">
        <v>-1.60809859937029E-2</v>
      </c>
      <c r="EO317" s="5">
        <v>4.2915273268306197E-3</v>
      </c>
      <c r="EP317" s="5">
        <v>-0.20590153374424</v>
      </c>
      <c r="EQ317" s="5">
        <v>0.276302016462178</v>
      </c>
      <c r="ER317" s="5">
        <v>-0.62160529683764598</v>
      </c>
      <c r="ES317" s="5">
        <v>0.84508054888950601</v>
      </c>
      <c r="ET317" s="5">
        <v>-0.29315537101758399</v>
      </c>
      <c r="EU317" s="5">
        <v>0.48167675699698598</v>
      </c>
      <c r="EV317" s="5">
        <v>-0.43456220585858801</v>
      </c>
      <c r="EW317" s="5">
        <v>0.62303515019442002</v>
      </c>
      <c r="EX317" s="5">
        <v>-9.53533643897026E-2</v>
      </c>
      <c r="EY317" s="5">
        <v>0.251693182558892</v>
      </c>
      <c r="EZ317" s="5">
        <v>-0.65105353825866297</v>
      </c>
      <c r="FA317" s="5">
        <v>0.85094959078758003</v>
      </c>
      <c r="FB317" s="5">
        <v>-9.8807594988731706E-2</v>
      </c>
      <c r="FC317" s="5">
        <v>0.14049320579559499</v>
      </c>
      <c r="FD317" s="5">
        <v>-0.39357149836600702</v>
      </c>
      <c r="FE317" s="5">
        <v>0.54195051382383397</v>
      </c>
      <c r="FF317" s="5">
        <v>-5.2188810609622702E-2</v>
      </c>
      <c r="FG317" s="5">
        <v>7.9790699126161005E-2</v>
      </c>
      <c r="FH317" s="5">
        <v>-0.15216660778986399</v>
      </c>
      <c r="FI317" s="5">
        <v>0.30490504808264202</v>
      </c>
      <c r="FJ317" s="5">
        <v>-0.11685166039431701</v>
      </c>
      <c r="FK317" s="5">
        <v>0.15703485461072</v>
      </c>
      <c r="FL317" s="5">
        <v>0.20183248433152501</v>
      </c>
      <c r="FM317" s="5">
        <v>-0.237135008482666</v>
      </c>
      <c r="FN317" s="5">
        <v>-7.8443541667301706E-2</v>
      </c>
      <c r="FO317" s="5">
        <v>5.9243345666618701E-2</v>
      </c>
      <c r="FP317" s="5">
        <v>-0.12605174331528099</v>
      </c>
      <c r="FQ317" s="5">
        <v>0.11246304771710899</v>
      </c>
      <c r="FR317" s="5">
        <v>0.129598340879233</v>
      </c>
      <c r="FS317" s="5">
        <v>-7.3654030803634502E-2</v>
      </c>
      <c r="FT317" s="5">
        <v>-7.9841877957758101E-2</v>
      </c>
      <c r="FU317" s="5">
        <v>6.6563753307263496E-2</v>
      </c>
      <c r="FV317" s="5">
        <v>-0.103887972953775</v>
      </c>
      <c r="FW317" s="5">
        <v>0.15865055195251701</v>
      </c>
      <c r="FX317" s="5">
        <v>-0.454713325150157</v>
      </c>
      <c r="FY317" s="5">
        <v>0.59622383868495699</v>
      </c>
      <c r="FZ317" s="5">
        <v>-8.0865108646023101E-2</v>
      </c>
      <c r="GA317" s="5">
        <v>7.4426729919377294E-2</v>
      </c>
      <c r="GB317" s="5">
        <v>-6.2431960481290599E-2</v>
      </c>
      <c r="GC317" s="5">
        <v>8.9650257653024201E-2</v>
      </c>
      <c r="GD317" s="5">
        <v>-6.1185707438664597E-2</v>
      </c>
      <c r="GE317" s="5">
        <v>9.3302364630389004E-2</v>
      </c>
      <c r="GF317" s="5">
        <v>-0.25960324049581501</v>
      </c>
      <c r="GG317" s="5">
        <v>0.38498943222600301</v>
      </c>
      <c r="GH317" s="5">
        <v>0.19801277978355999</v>
      </c>
      <c r="GI317" s="5">
        <v>-0.248621072600472</v>
      </c>
      <c r="GJ317" s="5">
        <v>-0.28643152454383197</v>
      </c>
      <c r="GK317" s="5">
        <v>0.45589374972714902</v>
      </c>
      <c r="GL317" s="5">
        <v>-0.104931345683828</v>
      </c>
      <c r="GM317" s="5">
        <v>0.15780195629900101</v>
      </c>
      <c r="GN317" s="5">
        <v>-4.7391272525608097E-2</v>
      </c>
      <c r="GO317" s="5">
        <v>6.0331070736631603E-2</v>
      </c>
      <c r="GP317" s="5">
        <v>-0.18515918044667801</v>
      </c>
      <c r="GQ317" s="5">
        <v>0.20348986637326699</v>
      </c>
      <c r="GR317" s="5">
        <v>-0.196219494795279</v>
      </c>
      <c r="GS317" s="5">
        <v>0.39618798710365699</v>
      </c>
      <c r="GT317" s="5">
        <v>-6.1483732118854398E-2</v>
      </c>
      <c r="GU317" s="5">
        <v>4.8519080660955997E-2</v>
      </c>
      <c r="GV317" s="5">
        <v>-0.22921772757998299</v>
      </c>
      <c r="GW317" s="5">
        <v>0.42005365982794701</v>
      </c>
      <c r="GX317" s="5">
        <v>-6.5550818622261406E-2</v>
      </c>
      <c r="GY317" s="5">
        <v>0.120162834126898</v>
      </c>
      <c r="GZ317" s="5">
        <v>-0.10362383932878801</v>
      </c>
      <c r="HA317" s="5">
        <v>0.12726623199078799</v>
      </c>
      <c r="HB317" s="5">
        <v>-0.196849393757562</v>
      </c>
      <c r="HC317" s="5">
        <v>0.354708880823359</v>
      </c>
      <c r="HD317" s="5">
        <v>-5.1993305193381398E-2</v>
      </c>
      <c r="HE317" s="5">
        <v>6.0465322070135698E-2</v>
      </c>
      <c r="HF317" s="5">
        <v>-8.4342359847817003E-2</v>
      </c>
      <c r="HG317" s="5">
        <v>0.12346357173858601</v>
      </c>
      <c r="HH317" s="5">
        <v>-5.05050173519404E-2</v>
      </c>
      <c r="HI317" s="5">
        <v>7.2052046184339899E-2</v>
      </c>
      <c r="HJ317" s="5">
        <v>-0.13058764193740999</v>
      </c>
      <c r="HK317" s="5">
        <v>0.17612372916776101</v>
      </c>
      <c r="HL317" s="5">
        <v>-0.183350558697773</v>
      </c>
      <c r="HM317" s="5">
        <v>0.248339266236729</v>
      </c>
      <c r="HN317" s="5">
        <v>-7.3240017163916205E-2</v>
      </c>
      <c r="HO317" s="5">
        <v>0.12126111295728099</v>
      </c>
      <c r="HP317" s="5">
        <v>7.7207118708967203E-4</v>
      </c>
      <c r="HQ317" s="5">
        <v>0.10384533580011999</v>
      </c>
      <c r="HR317" s="5">
        <v>-0.27044348339727797</v>
      </c>
      <c r="HS317" s="5">
        <v>0.46904972115035498</v>
      </c>
      <c r="HT317" s="5">
        <v>-4.5594923398985E-2</v>
      </c>
      <c r="HU317" s="5">
        <v>6.1823756426675099E-2</v>
      </c>
      <c r="HV317" s="5">
        <v>-0.18523413434392799</v>
      </c>
      <c r="HW317" s="5">
        <v>0.32948477876444798</v>
      </c>
      <c r="HX317" s="5">
        <v>-0.13431922767497401</v>
      </c>
      <c r="HY317" s="5">
        <v>0.287358633353621</v>
      </c>
      <c r="HZ317" s="5">
        <v>-2.2143501915874102E-2</v>
      </c>
      <c r="IA317" s="5">
        <v>4.5175564295691903E-2</v>
      </c>
      <c r="IB317" s="5">
        <v>0.25364063431522899</v>
      </c>
      <c r="IC317" s="5">
        <v>-0.267064882467346</v>
      </c>
      <c r="ID317" s="5">
        <v>-6.41545800897734E-2</v>
      </c>
      <c r="IE317" s="5">
        <v>0.138946879835847</v>
      </c>
      <c r="IF317" s="5">
        <v>-0.12824264900830201</v>
      </c>
      <c r="IG317" s="5">
        <v>0.22891635679601499</v>
      </c>
      <c r="IH317" s="5">
        <v>-0.19444957006736499</v>
      </c>
      <c r="II317" s="5">
        <v>0.28361083990890601</v>
      </c>
      <c r="IJ317" s="5">
        <v>-0.37442111972592101</v>
      </c>
      <c r="IK317" s="5">
        <v>0.447716070857757</v>
      </c>
      <c r="IL317" s="5">
        <v>-6.3433037040317103E-4</v>
      </c>
      <c r="IM317" s="5">
        <v>5.11815589450915E-2</v>
      </c>
      <c r="IN317" s="5">
        <v>-0.29157013702190199</v>
      </c>
      <c r="IO317" s="5">
        <v>0.47617556048592102</v>
      </c>
      <c r="IP317" s="5">
        <v>-0.239753331274625</v>
      </c>
      <c r="IQ317" s="5">
        <v>0.32841666859181401</v>
      </c>
      <c r="IR317" s="5">
        <v>-4.2449953925475598E-2</v>
      </c>
      <c r="IS317" s="5">
        <v>1.6003845481221399E-2</v>
      </c>
      <c r="IT317" s="5">
        <v>-0.10149400588707801</v>
      </c>
      <c r="IU317" s="5">
        <v>0.221105003580465</v>
      </c>
      <c r="IV317" s="5">
        <v>-0.27859088195419701</v>
      </c>
      <c r="IW317" s="5">
        <v>0.42010550002928998</v>
      </c>
      <c r="IX317" s="5">
        <v>-0.61043621481148602</v>
      </c>
      <c r="IY317" s="5">
        <v>0.77606077108596505</v>
      </c>
      <c r="IZ317" s="5">
        <v>-0.118422763081351</v>
      </c>
      <c r="JA317" s="5">
        <v>0.166413037270841</v>
      </c>
      <c r="JB317" s="5">
        <v>-1.38576229176168E-2</v>
      </c>
      <c r="JC317" s="5">
        <v>2.5539380736652201E-2</v>
      </c>
      <c r="JD317" s="5">
        <v>1.35915379242253E-3</v>
      </c>
      <c r="JE317" s="5">
        <v>-3.8910673528438397E-2</v>
      </c>
      <c r="JF317" s="5">
        <v>-0.18197589401257</v>
      </c>
      <c r="JG317" s="5">
        <v>0.28651801474086702</v>
      </c>
      <c r="JH317" s="5">
        <v>-0.15005622172024799</v>
      </c>
      <c r="JI317" s="5">
        <v>0.192889496791009</v>
      </c>
      <c r="JJ317" s="5">
        <v>-0.130389424008481</v>
      </c>
      <c r="JK317" s="5">
        <v>0.180321231922905</v>
      </c>
      <c r="JL317" s="5">
        <v>-0.12102756590158199</v>
      </c>
      <c r="JM317" s="5">
        <v>0.152972672483521</v>
      </c>
      <c r="JN317" s="5">
        <v>-0.490793940081381</v>
      </c>
      <c r="JO317" s="5">
        <v>0.64104291803857705</v>
      </c>
      <c r="JP317" s="5">
        <v>-0.302391124050578</v>
      </c>
      <c r="JQ317" s="5">
        <v>0.473380630343471</v>
      </c>
      <c r="JR317" s="5">
        <v>-0.17337148382746601</v>
      </c>
      <c r="JS317" s="5">
        <v>0.25726282970569198</v>
      </c>
      <c r="JT317" s="5">
        <v>5.0298981006776197E-2</v>
      </c>
      <c r="JU317" s="5">
        <v>-6.3718638687624604E-2</v>
      </c>
      <c r="JV317" s="5">
        <v>-4.4115461524535098E-2</v>
      </c>
      <c r="JW317" s="5">
        <v>0.101848888646955</v>
      </c>
      <c r="JX317" s="5">
        <v>-4.3670204233140802E-2</v>
      </c>
      <c r="JY317" s="5">
        <v>7.1378308494640094E-2</v>
      </c>
      <c r="JZ317" s="5">
        <v>-0.26053367590233401</v>
      </c>
      <c r="KA317" s="5">
        <v>0.33078797072043398</v>
      </c>
      <c r="KB317" s="5">
        <v>-0.11532087187617</v>
      </c>
      <c r="KC317" s="5">
        <v>0.171425940725555</v>
      </c>
      <c r="KD317" s="5">
        <v>-0.116860876917916</v>
      </c>
      <c r="KE317" s="5">
        <v>0.116121209094757</v>
      </c>
      <c r="KF317" s="5">
        <v>-0.281748721921877</v>
      </c>
      <c r="KG317" s="5">
        <v>0.38733749130560202</v>
      </c>
      <c r="KH317" s="5">
        <v>-8.5189288626909707E-2</v>
      </c>
      <c r="KI317" s="5">
        <v>6.5749448011141395E-2</v>
      </c>
      <c r="KJ317" s="5">
        <v>-9.0195821889281699E-2</v>
      </c>
      <c r="KK317" s="5">
        <v>9.3299447868234395E-2</v>
      </c>
      <c r="KL317" s="5">
        <v>-0.26468799897301298</v>
      </c>
      <c r="KM317" s="5">
        <v>0.34965365346517002</v>
      </c>
      <c r="KN317" s="5">
        <v>-3.5418791032648202E-2</v>
      </c>
      <c r="KO317" s="5">
        <v>6.8292074567176606E-2</v>
      </c>
      <c r="KP317" s="5">
        <v>0.215298768787546</v>
      </c>
      <c r="KQ317" s="5">
        <v>-0.204855289481987</v>
      </c>
      <c r="KR317" s="5">
        <v>-0.289153425135038</v>
      </c>
      <c r="KS317" s="5">
        <v>0.43154395839728699</v>
      </c>
      <c r="KT317" s="5">
        <v>-0.134579657451704</v>
      </c>
      <c r="KU317" s="5">
        <v>0.194526547474527</v>
      </c>
      <c r="KV317" s="5">
        <v>-9.2506187602318796E-2</v>
      </c>
      <c r="KW317" s="5">
        <v>0.22059365580399201</v>
      </c>
      <c r="KX317" s="5">
        <v>-0.211059195438593</v>
      </c>
      <c r="KY317" s="5">
        <v>0.31816732310832901</v>
      </c>
      <c r="KZ317" s="5">
        <v>-6.4147360606720799E-2</v>
      </c>
      <c r="LA317" s="5">
        <v>9.1753095361424994E-2</v>
      </c>
      <c r="LB317" s="5">
        <v>-0.26825962466736902</v>
      </c>
      <c r="LC317" s="5">
        <v>0.396988445576474</v>
      </c>
      <c r="LD317" s="5">
        <v>-0.80205678117187496</v>
      </c>
      <c r="LE317" s="5">
        <v>1</v>
      </c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</row>
    <row r="318" spans="1:389" x14ac:dyDescent="0.45">
      <c r="A318" s="4" t="str">
        <f ca="1">"SMR / beta1dist in "&amp;CELL("address",'damages-1990'!$J$160)</f>
        <v>SMR / beta1dist in '[BHM betas v3pd.xlsx]damages-1990'!$J$160</v>
      </c>
      <c r="B318" s="6">
        <v>0.55364623554140502</v>
      </c>
      <c r="C318" s="5">
        <v>-0.19783677049485299</v>
      </c>
      <c r="D318" s="5">
        <v>0.21806350651248299</v>
      </c>
      <c r="E318" s="5">
        <v>-0.14746447778926</v>
      </c>
      <c r="F318" s="5">
        <v>0.81892215997482198</v>
      </c>
      <c r="G318" s="5">
        <v>-0.58451022252656404</v>
      </c>
      <c r="H318" s="5">
        <v>0.50291551240218002</v>
      </c>
      <c r="I318" s="5">
        <v>-0.29876229950850602</v>
      </c>
      <c r="J318" s="5">
        <v>9.4057793605982404E-2</v>
      </c>
      <c r="K318" s="5">
        <v>-7.1494946685646599E-2</v>
      </c>
      <c r="L318" s="5">
        <v>0.40976785096867102</v>
      </c>
      <c r="M318" s="5">
        <v>-0.117842872352977</v>
      </c>
      <c r="N318" s="5">
        <v>0.55340749744706597</v>
      </c>
      <c r="O318" s="5">
        <v>-0.25979539910298799</v>
      </c>
      <c r="P318" s="5">
        <v>0.13667977312075599</v>
      </c>
      <c r="Q318" s="5">
        <v>-0.112130279238893</v>
      </c>
      <c r="R318" s="5">
        <v>0.179720766077274</v>
      </c>
      <c r="S318" s="5">
        <v>-9.2428986067685806E-2</v>
      </c>
      <c r="T318" s="5">
        <v>0.663703253330022</v>
      </c>
      <c r="U318" s="5">
        <v>-0.47458337280399399</v>
      </c>
      <c r="V318" s="5">
        <v>0.56823250786573798</v>
      </c>
      <c r="W318" s="5">
        <v>-0.23604117568987501</v>
      </c>
      <c r="X318" s="5">
        <v>0.26339396367992901</v>
      </c>
      <c r="Y318" s="5">
        <v>-0.15103056847100099</v>
      </c>
      <c r="Z318" s="5">
        <v>0.74959725134733701</v>
      </c>
      <c r="AA318" s="5">
        <v>-0.51381474091259305</v>
      </c>
      <c r="AB318" s="5">
        <v>0.12369139962907</v>
      </c>
      <c r="AC318" s="5">
        <v>-7.9715774472000595E-2</v>
      </c>
      <c r="AD318" s="5">
        <v>0.13542218188247601</v>
      </c>
      <c r="AE318" s="5">
        <v>-7.1869840150122599E-2</v>
      </c>
      <c r="AF318" s="5">
        <v>4.3925535245892601E-5</v>
      </c>
      <c r="AG318" s="5">
        <v>2.8050256482533401E-2</v>
      </c>
      <c r="AH318" s="5">
        <v>0.79780329922988302</v>
      </c>
      <c r="AI318" s="5">
        <v>-0.557277096766848</v>
      </c>
      <c r="AJ318" s="5">
        <v>6.0857966124464903E-2</v>
      </c>
      <c r="AK318" s="5">
        <v>-3.71352493704439E-2</v>
      </c>
      <c r="AL318" s="5">
        <v>4.9036820180403499E-2</v>
      </c>
      <c r="AM318" s="5">
        <v>-1.8156469669649001E-2</v>
      </c>
      <c r="AN318" s="5">
        <v>0.83255973071697997</v>
      </c>
      <c r="AO318" s="5">
        <v>-0.60941286660524596</v>
      </c>
      <c r="AP318" s="5">
        <v>0.51016493134612095</v>
      </c>
      <c r="AQ318" s="5">
        <v>-0.29075137207794899</v>
      </c>
      <c r="AR318" s="5">
        <v>9.0221839001612694E-2</v>
      </c>
      <c r="AS318" s="5">
        <v>-5.8564140088064098E-2</v>
      </c>
      <c r="AT318" s="5">
        <v>-2.4052542064295799E-3</v>
      </c>
      <c r="AU318" s="5">
        <v>5.49937013943863E-2</v>
      </c>
      <c r="AV318" s="5">
        <v>0.12250616968613499</v>
      </c>
      <c r="AW318" s="5">
        <v>-5.9122418314730099E-2</v>
      </c>
      <c r="AX318" s="5">
        <v>8.6909279789259802E-2</v>
      </c>
      <c r="AY318" s="5">
        <v>-0.11523846858159</v>
      </c>
      <c r="AZ318" s="5">
        <v>0.110949802034689</v>
      </c>
      <c r="BA318" s="5">
        <v>-7.5884271552010302E-2</v>
      </c>
      <c r="BB318" s="5">
        <v>0.112092952285128</v>
      </c>
      <c r="BC318" s="5">
        <v>-8.3190895317089397E-2</v>
      </c>
      <c r="BD318" s="5">
        <v>0.66051175151964703</v>
      </c>
      <c r="BE318" s="5">
        <v>-0.28191306453998899</v>
      </c>
      <c r="BF318" s="5">
        <v>0.170638228991496</v>
      </c>
      <c r="BG318" s="5">
        <v>-0.12605449709882199</v>
      </c>
      <c r="BH318" s="5">
        <v>0.159193833102583</v>
      </c>
      <c r="BI318" s="5">
        <v>-9.7236297940911903E-2</v>
      </c>
      <c r="BJ318" s="5">
        <v>0.38335276030210302</v>
      </c>
      <c r="BK318" s="5">
        <v>-0.13003138007861101</v>
      </c>
      <c r="BL318" s="5">
        <v>0.63255243554456098</v>
      </c>
      <c r="BM318" s="5">
        <v>-0.44625266563468202</v>
      </c>
      <c r="BN318" s="5">
        <v>0.53925219871503804</v>
      </c>
      <c r="BO318" s="5">
        <v>-0.154436131347962</v>
      </c>
      <c r="BP318" s="5">
        <v>0.60485066836483903</v>
      </c>
      <c r="BQ318" s="5">
        <v>-0.264614380487732</v>
      </c>
      <c r="BR318" s="5">
        <v>0.17871847758807899</v>
      </c>
      <c r="BS318" s="5">
        <v>-0.11012468052222101</v>
      </c>
      <c r="BT318" s="5">
        <v>0.15327583175337001</v>
      </c>
      <c r="BU318" s="5">
        <v>-8.6876270218879795E-2</v>
      </c>
      <c r="BV318" s="5">
        <v>0.18488129629761799</v>
      </c>
      <c r="BW318" s="5">
        <v>-0.14650808295857301</v>
      </c>
      <c r="BX318" s="5">
        <v>0.14085443157240901</v>
      </c>
      <c r="BY318" s="5">
        <v>-0.10647683234512401</v>
      </c>
      <c r="BZ318" s="5">
        <v>0.108910916637835</v>
      </c>
      <c r="CA318" s="5">
        <v>-0.11388807244561901</v>
      </c>
      <c r="CB318" s="5">
        <v>9.3911118135726807E-2</v>
      </c>
      <c r="CC318" s="5">
        <v>-6.8019315203990294E-2</v>
      </c>
      <c r="CD318" s="5">
        <v>0.14707265150121701</v>
      </c>
      <c r="CE318" s="5">
        <v>-7.3935345413126602E-2</v>
      </c>
      <c r="CF318" s="5">
        <v>0.100310170177744</v>
      </c>
      <c r="CG318" s="5">
        <v>-7.7218542695896203E-2</v>
      </c>
      <c r="CH318" s="5">
        <v>6.2796656195689499E-2</v>
      </c>
      <c r="CI318" s="5">
        <v>-4.0476756803920502E-2</v>
      </c>
      <c r="CJ318" s="5">
        <v>0.1565010617134</v>
      </c>
      <c r="CK318" s="5">
        <v>-4.6276677029280901E-3</v>
      </c>
      <c r="CL318" s="5">
        <v>0.72050095225507405</v>
      </c>
      <c r="CM318" s="5">
        <v>-0.51323462862893998</v>
      </c>
      <c r="CN318" s="5">
        <v>0.74907299382446402</v>
      </c>
      <c r="CO318" s="5">
        <v>-0.53194948312375001</v>
      </c>
      <c r="CP318" s="5">
        <v>0.100231787491751</v>
      </c>
      <c r="CQ318" s="5">
        <v>-6.0526953868509599E-2</v>
      </c>
      <c r="CR318" s="5">
        <v>0.169450319030824</v>
      </c>
      <c r="CS318" s="5">
        <v>-0.10407018953086</v>
      </c>
      <c r="CT318" s="5">
        <v>0.58782831456481199</v>
      </c>
      <c r="CU318" s="5">
        <v>-0.388058541489673</v>
      </c>
      <c r="CV318" s="5">
        <v>0.16165619734120901</v>
      </c>
      <c r="CW318" s="5">
        <v>-0.112450919937103</v>
      </c>
      <c r="CX318" s="5">
        <v>9.2616297544156206E-2</v>
      </c>
      <c r="CY318" s="5">
        <v>-9.7868606469571802E-3</v>
      </c>
      <c r="CZ318" s="5">
        <v>0.16110402382855299</v>
      </c>
      <c r="DA318" s="5">
        <v>-0.13314983664535801</v>
      </c>
      <c r="DB318" s="5">
        <v>8.7529651747443801E-2</v>
      </c>
      <c r="DC318" s="5">
        <v>-6.4066809413821198E-5</v>
      </c>
      <c r="DD318" s="5">
        <v>0.123262595172455</v>
      </c>
      <c r="DE318" s="5">
        <v>-5.3110608391604398E-2</v>
      </c>
      <c r="DF318" s="5">
        <v>0.122430560655534</v>
      </c>
      <c r="DG318" s="5">
        <v>-3.7037142122866198E-2</v>
      </c>
      <c r="DH318" s="5">
        <v>0.63349906199131001</v>
      </c>
      <c r="DI318" s="5">
        <v>-0.36932735802501199</v>
      </c>
      <c r="DJ318" s="5">
        <v>0.42599428368870301</v>
      </c>
      <c r="DK318" s="5">
        <v>-0.23151609077893101</v>
      </c>
      <c r="DL318" s="5">
        <v>0.23770784739068401</v>
      </c>
      <c r="DM318" s="5">
        <v>-0.11635013469698099</v>
      </c>
      <c r="DN318" s="5">
        <v>0.35939746658238497</v>
      </c>
      <c r="DO318" s="5">
        <v>-0.173119211370697</v>
      </c>
      <c r="DP318" s="5">
        <v>8.8207665706323296E-2</v>
      </c>
      <c r="DQ318" s="5">
        <v>2.55916921080067E-2</v>
      </c>
      <c r="DR318" s="5">
        <v>0.81030751021605196</v>
      </c>
      <c r="DS318" s="5">
        <v>-0.57761114638176403</v>
      </c>
      <c r="DT318" s="5">
        <v>1.7645280839522898E-2</v>
      </c>
      <c r="DU318" s="5">
        <v>1.9895295253224001E-2</v>
      </c>
      <c r="DV318" s="5">
        <v>0.15359390018267999</v>
      </c>
      <c r="DW318" s="5">
        <v>-0.120100253360828</v>
      </c>
      <c r="DX318" s="5">
        <v>0.55242681695673601</v>
      </c>
      <c r="DY318" s="5">
        <v>-0.28000380429294902</v>
      </c>
      <c r="DZ318" s="5">
        <v>0.57403216005470004</v>
      </c>
      <c r="EA318" s="5">
        <v>-0.27577868742816303</v>
      </c>
      <c r="EB318" s="5">
        <v>0.13498842777401701</v>
      </c>
      <c r="EC318" s="5">
        <v>-8.5974809199769103E-2</v>
      </c>
      <c r="ED318" s="5">
        <v>0.17618547709110299</v>
      </c>
      <c r="EE318" s="5">
        <v>-0.103064402567489</v>
      </c>
      <c r="EF318" s="5">
        <v>0.16072981976423001</v>
      </c>
      <c r="EG318" s="5">
        <v>-0.111936331767863</v>
      </c>
      <c r="EH318" s="5">
        <v>0.16060850757116199</v>
      </c>
      <c r="EI318" s="5">
        <v>-9.7727252419670493E-2</v>
      </c>
      <c r="EJ318" s="5">
        <v>0.172137590329488</v>
      </c>
      <c r="EK318" s="5">
        <v>-0.109910224392452</v>
      </c>
      <c r="EL318" s="5">
        <v>0.120845697716885</v>
      </c>
      <c r="EM318" s="5">
        <v>-4.7445111094766401E-2</v>
      </c>
      <c r="EN318" s="5">
        <v>0.48372925822482699</v>
      </c>
      <c r="EO318" s="5">
        <v>-0.23351439250633099</v>
      </c>
      <c r="EP318" s="5">
        <v>0.134764149746152</v>
      </c>
      <c r="EQ318" s="5">
        <v>-0.100567772146476</v>
      </c>
      <c r="ER318" s="5">
        <v>0.156438653164441</v>
      </c>
      <c r="ES318" s="5">
        <v>-0.114055166139268</v>
      </c>
      <c r="ET318" s="5">
        <v>0.100090841285017</v>
      </c>
      <c r="EU318" s="5">
        <v>-0.109719135143513</v>
      </c>
      <c r="EV318" s="5">
        <v>6.6121866965981796E-2</v>
      </c>
      <c r="EW318" s="5">
        <v>-9.4682899121048006E-2</v>
      </c>
      <c r="EX318" s="5">
        <v>6.3638076718255707E-2</v>
      </c>
      <c r="EY318" s="5">
        <v>-2.48093777186623E-2</v>
      </c>
      <c r="EZ318" s="5">
        <v>0.13061919239567599</v>
      </c>
      <c r="FA318" s="5">
        <v>-8.0785699608619602E-2</v>
      </c>
      <c r="FB318" s="5">
        <v>0.88095100404635196</v>
      </c>
      <c r="FC318" s="5">
        <v>-0.67597027025123502</v>
      </c>
      <c r="FD318" s="5">
        <v>0.16109685186154399</v>
      </c>
      <c r="FE318" s="5">
        <v>-0.11781897591035299</v>
      </c>
      <c r="FF318" s="5">
        <v>0.84868487775693002</v>
      </c>
      <c r="FG318" s="5">
        <v>-0.62846189595664403</v>
      </c>
      <c r="FH318" s="5">
        <v>4.06818858027643E-2</v>
      </c>
      <c r="FI318" s="5">
        <v>3.8461341289392499E-2</v>
      </c>
      <c r="FJ318" s="5">
        <v>0.165006252054958</v>
      </c>
      <c r="FK318" s="5">
        <v>-9.6831070644208303E-2</v>
      </c>
      <c r="FL318" s="5">
        <v>0.42924260398354103</v>
      </c>
      <c r="FM318" s="5">
        <v>-8.5554079844973097E-2</v>
      </c>
      <c r="FN318" s="5">
        <v>0.30241625375206799</v>
      </c>
      <c r="FO318" s="5">
        <v>-7.8452100262059496E-2</v>
      </c>
      <c r="FP318" s="5">
        <v>9.3431167926698797E-2</v>
      </c>
      <c r="FQ318" s="5">
        <v>1.87509183083105E-2</v>
      </c>
      <c r="FR318" s="5">
        <v>0.15496468774680899</v>
      </c>
      <c r="FS318" s="5">
        <v>0.11779172187626399</v>
      </c>
      <c r="FT318" s="5">
        <v>0.16477533954852</v>
      </c>
      <c r="FU318" s="5">
        <v>-1.37511251152545E-2</v>
      </c>
      <c r="FV318" s="5">
        <v>0.83824378232508401</v>
      </c>
      <c r="FW318" s="5">
        <v>-0.67100220121840604</v>
      </c>
      <c r="FX318" s="5">
        <v>0.13307596857200901</v>
      </c>
      <c r="FY318" s="5">
        <v>-9.9963583966839395E-2</v>
      </c>
      <c r="FZ318" s="5">
        <v>0.20908623975584101</v>
      </c>
      <c r="GA318" s="5">
        <v>-4.2223701867292303E-2</v>
      </c>
      <c r="GB318" s="5">
        <v>0.77385537089953704</v>
      </c>
      <c r="GC318" s="5">
        <v>-0.51133089733330805</v>
      </c>
      <c r="GD318" s="5">
        <v>0.47888435160318299</v>
      </c>
      <c r="GE318" s="5">
        <v>-0.222011592909582</v>
      </c>
      <c r="GF318" s="5">
        <v>0.18585391861961401</v>
      </c>
      <c r="GG318" s="5">
        <v>-0.11882898010467401</v>
      </c>
      <c r="GH318" s="5">
        <v>0.34920555645033302</v>
      </c>
      <c r="GI318" s="5">
        <v>-4.08515542739111E-2</v>
      </c>
      <c r="GJ318" s="5">
        <v>3.02502273389917E-2</v>
      </c>
      <c r="GK318" s="5">
        <v>-3.5720795043465897E-2</v>
      </c>
      <c r="GL318" s="5">
        <v>0.13117774913149999</v>
      </c>
      <c r="GM318" s="5">
        <v>-9.4477949372069006E-2</v>
      </c>
      <c r="GN318" s="5">
        <v>0.75142230101860497</v>
      </c>
      <c r="GO318" s="5">
        <v>-0.50322958179666</v>
      </c>
      <c r="GP318" s="5">
        <v>4.5712908810921403E-2</v>
      </c>
      <c r="GQ318" s="5">
        <v>-1.2155569110787201E-3</v>
      </c>
      <c r="GR318" s="5">
        <v>7.7951531747983596E-2</v>
      </c>
      <c r="GS318" s="5">
        <v>-3.0631414464417001E-2</v>
      </c>
      <c r="GT318" s="5">
        <v>0.40930026522463903</v>
      </c>
      <c r="GU318" s="5">
        <v>-0.119952636372974</v>
      </c>
      <c r="GV318" s="5">
        <v>0.190917745118732</v>
      </c>
      <c r="GW318" s="5">
        <v>-0.138203319142016</v>
      </c>
      <c r="GX318" s="5">
        <v>7.3273250593173897E-2</v>
      </c>
      <c r="GY318" s="5">
        <v>1.03356638399777E-2</v>
      </c>
      <c r="GZ318" s="5">
        <v>0.63100231230160397</v>
      </c>
      <c r="HA318" s="5">
        <v>-0.45374688398944402</v>
      </c>
      <c r="HB318" s="5">
        <v>0.14600029571386999</v>
      </c>
      <c r="HC318" s="5">
        <v>-0.14045206960488099</v>
      </c>
      <c r="HD318" s="5">
        <v>0.48289447861151602</v>
      </c>
      <c r="HE318" s="5">
        <v>3.9535414677208999E-3</v>
      </c>
      <c r="HF318" s="5">
        <v>0.50317474809916396</v>
      </c>
      <c r="HG318" s="5">
        <v>-0.29324104500039999</v>
      </c>
      <c r="HH318" s="5">
        <v>0.75439240004893304</v>
      </c>
      <c r="HI318" s="5">
        <v>-0.53059124416249803</v>
      </c>
      <c r="HJ318" s="5">
        <v>0.46012664142319498</v>
      </c>
      <c r="HK318" s="5">
        <v>-0.26266844180117999</v>
      </c>
      <c r="HL318" s="5">
        <v>0.31691986365826402</v>
      </c>
      <c r="HM318" s="5">
        <v>-0.117594034907731</v>
      </c>
      <c r="HN318" s="5">
        <v>0.75579395769178703</v>
      </c>
      <c r="HO318" s="5">
        <v>-0.51199744590639296</v>
      </c>
      <c r="HP318" s="5">
        <v>0.16327069281206499</v>
      </c>
      <c r="HQ318" s="5">
        <v>-7.1340721589626593E-2</v>
      </c>
      <c r="HR318" s="5">
        <v>0.211131755421161</v>
      </c>
      <c r="HS318" s="5">
        <v>-0.126756876870257</v>
      </c>
      <c r="HT318" s="5">
        <v>0.82366276646847103</v>
      </c>
      <c r="HU318" s="5">
        <v>-0.57098504951776496</v>
      </c>
      <c r="HV318" s="5">
        <v>8.2074540315125996E-2</v>
      </c>
      <c r="HW318" s="5">
        <v>-3.3077437365648901E-2</v>
      </c>
      <c r="HX318" s="5">
        <v>0.12525400881228099</v>
      </c>
      <c r="HY318" s="5">
        <v>-4.9785360033717301E-2</v>
      </c>
      <c r="HZ318" s="5">
        <v>0.77767974623532798</v>
      </c>
      <c r="IA318" s="5">
        <v>-0.55440969568312404</v>
      </c>
      <c r="IB318" s="5">
        <v>0.339985984676758</v>
      </c>
      <c r="IC318" s="5">
        <v>-0.15203741948214899</v>
      </c>
      <c r="ID318" s="5">
        <v>0.19344155458239201</v>
      </c>
      <c r="IE318" s="5">
        <v>-0.19256047262995801</v>
      </c>
      <c r="IF318" s="5">
        <v>8.92155667491107E-2</v>
      </c>
      <c r="IG318" s="5">
        <v>-2.77554231179559E-2</v>
      </c>
      <c r="IH318" s="5">
        <v>0.14412499984073401</v>
      </c>
      <c r="II318" s="5">
        <v>-0.106099240307262</v>
      </c>
      <c r="IJ318" s="5">
        <v>6.2614852789860606E-2</v>
      </c>
      <c r="IK318" s="5">
        <v>-5.5381462289298801E-3</v>
      </c>
      <c r="IL318" s="5">
        <v>0.14144718638141601</v>
      </c>
      <c r="IM318" s="5">
        <v>-0.107633432015158</v>
      </c>
      <c r="IN318" s="5">
        <v>6.8166758768893596E-2</v>
      </c>
      <c r="IO318" s="5">
        <v>-7.17972304625435E-3</v>
      </c>
      <c r="IP318" s="5">
        <v>0.259467561895246</v>
      </c>
      <c r="IQ318" s="5">
        <v>-0.16196200426556501</v>
      </c>
      <c r="IR318" s="5">
        <v>0.118596282966189</v>
      </c>
      <c r="IS318" s="5">
        <v>-3.4215046411152E-2</v>
      </c>
      <c r="IT318" s="5">
        <v>8.5979585977988202E-2</v>
      </c>
      <c r="IU318" s="5">
        <v>-2.7243901753195399E-2</v>
      </c>
      <c r="IV318" s="5">
        <v>0.17956098694493899</v>
      </c>
      <c r="IW318" s="5">
        <v>-0.11448312573030001</v>
      </c>
      <c r="IX318" s="5">
        <v>0.11537785802705899</v>
      </c>
      <c r="IY318" s="5">
        <v>-8.9208059853324001E-2</v>
      </c>
      <c r="IZ318" s="5">
        <v>0.71917812211729304</v>
      </c>
      <c r="JA318" s="5">
        <v>-0.49384563875437498</v>
      </c>
      <c r="JB318" s="5">
        <v>0.399483900477349</v>
      </c>
      <c r="JC318" s="5">
        <v>-0.22910803291449899</v>
      </c>
      <c r="JD318" s="5">
        <v>0.58687466468785299</v>
      </c>
      <c r="JE318" s="5">
        <v>-0.2284627537668</v>
      </c>
      <c r="JF318" s="5">
        <v>1.4375532371502501E-2</v>
      </c>
      <c r="JG318" s="5">
        <v>6.3649300897643804E-3</v>
      </c>
      <c r="JH318" s="5">
        <v>0.54097649538878101</v>
      </c>
      <c r="JI318" s="5">
        <v>-0.225861452938453</v>
      </c>
      <c r="JJ318" s="5">
        <v>0.174516917696034</v>
      </c>
      <c r="JK318" s="5">
        <v>-0.104586531271865</v>
      </c>
      <c r="JL318" s="5">
        <v>0.24551015858215999</v>
      </c>
      <c r="JM318" s="5">
        <v>-0.12431672492167101</v>
      </c>
      <c r="JN318" s="5">
        <v>0.13814927875192401</v>
      </c>
      <c r="JO318" s="5">
        <v>-0.124612947135366</v>
      </c>
      <c r="JP318" s="5">
        <v>0.202715807611031</v>
      </c>
      <c r="JQ318" s="5">
        <v>-0.11063011955048099</v>
      </c>
      <c r="JR318" s="5">
        <v>4.57456601915446E-2</v>
      </c>
      <c r="JS318" s="5">
        <v>4.0449136535013398E-2</v>
      </c>
      <c r="JT318" s="5">
        <v>-1.3768025876227601E-2</v>
      </c>
      <c r="JU318" s="5">
        <v>6.3942385565905993E-2</v>
      </c>
      <c r="JV318" s="5">
        <v>7.5580291791120705E-2</v>
      </c>
      <c r="JW318" s="5">
        <v>-1.10388249805232E-2</v>
      </c>
      <c r="JX318" s="5">
        <v>0.66606064287984501</v>
      </c>
      <c r="JY318" s="5">
        <v>-0.45051956737762699</v>
      </c>
      <c r="JZ318" s="5">
        <v>0.148867905601031</v>
      </c>
      <c r="KA318" s="5">
        <v>-0.107847037594527</v>
      </c>
      <c r="KB318" s="5">
        <v>0.56626425365586497</v>
      </c>
      <c r="KC318" s="5">
        <v>-0.33615523547887599</v>
      </c>
      <c r="KD318" s="5">
        <v>0.443892104345461</v>
      </c>
      <c r="KE318" s="5">
        <v>-0.22313336578757401</v>
      </c>
      <c r="KF318" s="5">
        <v>3.7654118583766702E-2</v>
      </c>
      <c r="KG318" s="5">
        <v>9.9391385265342504E-3</v>
      </c>
      <c r="KH318" s="5">
        <v>0.19259125232659999</v>
      </c>
      <c r="KI318" s="5">
        <v>-1.7400658992013301E-2</v>
      </c>
      <c r="KJ318" s="5">
        <v>5.1708092227095E-2</v>
      </c>
      <c r="KK318" s="5">
        <v>-3.82395612872009E-2</v>
      </c>
      <c r="KL318" s="5">
        <v>0.28450180151122301</v>
      </c>
      <c r="KM318" s="5">
        <v>-5.63580636221723E-2</v>
      </c>
      <c r="KN318" s="5">
        <v>0.76530620120994897</v>
      </c>
      <c r="KO318" s="5">
        <v>-0.52525229385821903</v>
      </c>
      <c r="KP318" s="5">
        <v>0.293521331716388</v>
      </c>
      <c r="KQ318" s="5">
        <v>-0.106112472095578</v>
      </c>
      <c r="KR318" s="5">
        <v>0.29040277930744801</v>
      </c>
      <c r="KS318" s="5">
        <v>-0.13352152673791201</v>
      </c>
      <c r="KT318" s="5">
        <v>8.6225244063340895E-2</v>
      </c>
      <c r="KU318" s="5">
        <v>-2.1548609196956701E-2</v>
      </c>
      <c r="KV318" s="5">
        <v>0.15004223434401301</v>
      </c>
      <c r="KW318" s="5">
        <v>-8.9676915556234305E-2</v>
      </c>
      <c r="KX318" s="5">
        <v>0.15004490258501901</v>
      </c>
      <c r="KY318" s="5">
        <v>-8.6393898766765703E-2</v>
      </c>
      <c r="KZ318" s="5">
        <v>9.0418725954385396E-2</v>
      </c>
      <c r="LA318" s="5">
        <v>-2.7005546121640502E-2</v>
      </c>
      <c r="LB318" s="5">
        <v>0.14205568975972399</v>
      </c>
      <c r="LC318" s="5">
        <v>-7.4774488046556203E-2</v>
      </c>
      <c r="LD318" s="5">
        <v>0.117604591116863</v>
      </c>
      <c r="LE318" s="5">
        <v>-9.77993589864464E-2</v>
      </c>
      <c r="LF318" s="5">
        <v>1</v>
      </c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</row>
    <row r="319" spans="1:389" x14ac:dyDescent="0.45">
      <c r="A319" s="4" t="str">
        <f ca="1">"SMR / beta2dist in "&amp;CELL("address",'damages-1990'!$K$160)</f>
        <v>SMR / beta2dist in '[BHM betas v3pd.xlsx]damages-1990'!$K$160</v>
      </c>
      <c r="B319" s="6">
        <v>-0.201209571159981</v>
      </c>
      <c r="C319" s="5">
        <v>0.211484084912718</v>
      </c>
      <c r="D319" s="5">
        <v>7.1880840733081599E-3</v>
      </c>
      <c r="E319" s="5">
        <v>0.20054837406214501</v>
      </c>
      <c r="F319" s="5">
        <v>-0.58978454086238596</v>
      </c>
      <c r="G319" s="5">
        <v>0.70485122390809496</v>
      </c>
      <c r="H319" s="5">
        <v>-0.49986520020312702</v>
      </c>
      <c r="I319" s="5">
        <v>0.40631709136219901</v>
      </c>
      <c r="J319" s="5">
        <v>0.113067898251241</v>
      </c>
      <c r="K319" s="5">
        <v>0.122548400348561</v>
      </c>
      <c r="L319" s="5">
        <v>-5.3563925187909998E-2</v>
      </c>
      <c r="M319" s="5">
        <v>9.2362938041531104E-2</v>
      </c>
      <c r="N319" s="5">
        <v>-0.40049299520242099</v>
      </c>
      <c r="O319" s="5">
        <v>0.29618492952848902</v>
      </c>
      <c r="P319" s="5">
        <v>-9.0212579720603397E-2</v>
      </c>
      <c r="Q319" s="5">
        <v>0.21067505178881801</v>
      </c>
      <c r="R319" s="5">
        <v>0.111077130204842</v>
      </c>
      <c r="S319" s="5">
        <v>8.03317037779777E-2</v>
      </c>
      <c r="T319" s="5">
        <v>-0.69376976960730996</v>
      </c>
      <c r="U319" s="5">
        <v>0.66089991077814403</v>
      </c>
      <c r="V319" s="5">
        <v>-0.206447004834205</v>
      </c>
      <c r="W319" s="5">
        <v>0.22651769242538999</v>
      </c>
      <c r="X319" s="5">
        <v>-3.4395803987439799E-2</v>
      </c>
      <c r="Y319" s="5">
        <v>0.208178886623577</v>
      </c>
      <c r="Z319" s="5">
        <v>-0.64229287376594801</v>
      </c>
      <c r="AA319" s="5">
        <v>0.65740700870471802</v>
      </c>
      <c r="AB319" s="5">
        <v>-3.7521169731045902E-3</v>
      </c>
      <c r="AC319" s="5">
        <v>0.138503195289716</v>
      </c>
      <c r="AD319" s="5">
        <v>-2.13416165021099E-2</v>
      </c>
      <c r="AE319" s="5">
        <v>0.15204969730913601</v>
      </c>
      <c r="AF319" s="5">
        <v>0.23473595111807299</v>
      </c>
      <c r="AG319" s="5">
        <v>-5.4912120870735999E-2</v>
      </c>
      <c r="AH319" s="5">
        <v>-0.61180472189816204</v>
      </c>
      <c r="AI319" s="5">
        <v>0.69919219656062004</v>
      </c>
      <c r="AJ319" s="5">
        <v>0.13049432560504801</v>
      </c>
      <c r="AK319" s="5">
        <v>8.7973918636561205E-2</v>
      </c>
      <c r="AL319" s="5">
        <v>0.134387037353734</v>
      </c>
      <c r="AM319" s="5">
        <v>-2.7458041419623401E-2</v>
      </c>
      <c r="AN319" s="5">
        <v>-0.740143633772681</v>
      </c>
      <c r="AO319" s="5">
        <v>0.79834261993545497</v>
      </c>
      <c r="AP319" s="5">
        <v>-0.49427099829827498</v>
      </c>
      <c r="AQ319" s="5">
        <v>0.42062075017033601</v>
      </c>
      <c r="AR319" s="5">
        <v>9.4266783928655298E-2</v>
      </c>
      <c r="AS319" s="5">
        <v>7.3881809511261207E-2</v>
      </c>
      <c r="AT319" s="5">
        <v>0.21247466533545101</v>
      </c>
      <c r="AU319" s="5">
        <v>-0.13514717820333499</v>
      </c>
      <c r="AV319" s="5">
        <v>0.17033802192015099</v>
      </c>
      <c r="AW319" s="5">
        <v>3.9812083392592797E-2</v>
      </c>
      <c r="AX319" s="5">
        <v>0.15094238447435401</v>
      </c>
      <c r="AY319" s="5">
        <v>0.14066225478127101</v>
      </c>
      <c r="AZ319" s="5">
        <v>-4.9910062541780202E-2</v>
      </c>
      <c r="BA319" s="5">
        <v>0.15083891194704599</v>
      </c>
      <c r="BB319" s="5">
        <v>9.5052590126821795E-2</v>
      </c>
      <c r="BC319" s="5">
        <v>0.13551730999101699</v>
      </c>
      <c r="BD319" s="5">
        <v>-0.37251968027183902</v>
      </c>
      <c r="BE319" s="5">
        <v>0.35888930780615602</v>
      </c>
      <c r="BF319" s="5">
        <v>-1.2672512133843201E-2</v>
      </c>
      <c r="BG319" s="5">
        <v>0.19438604071844601</v>
      </c>
      <c r="BH319" s="5">
        <v>4.41557480200927E-2</v>
      </c>
      <c r="BI319" s="5">
        <v>0.13872034324518501</v>
      </c>
      <c r="BJ319" s="5">
        <v>-0.46197405695327298</v>
      </c>
      <c r="BK319" s="5">
        <v>0.21520850952106199</v>
      </c>
      <c r="BL319" s="5">
        <v>-0.663480385150372</v>
      </c>
      <c r="BM319" s="5">
        <v>0.61303173660725696</v>
      </c>
      <c r="BN319" s="5">
        <v>-0.33540895447584701</v>
      </c>
      <c r="BO319" s="5">
        <v>0.17727745108192</v>
      </c>
      <c r="BP319" s="5">
        <v>-0.43561220494776698</v>
      </c>
      <c r="BQ319" s="5">
        <v>0.30398306074923098</v>
      </c>
      <c r="BR319" s="5">
        <v>-8.22555680202849E-2</v>
      </c>
      <c r="BS319" s="5">
        <v>0.20814903280476099</v>
      </c>
      <c r="BT319" s="5">
        <v>6.8520621122456202E-2</v>
      </c>
      <c r="BU319" s="5">
        <v>0.126449892130122</v>
      </c>
      <c r="BV319" s="5">
        <v>1.23873260941029E-2</v>
      </c>
      <c r="BW319" s="5">
        <v>0.209494340958015</v>
      </c>
      <c r="BX319" s="5">
        <v>4.1221792285734998E-2</v>
      </c>
      <c r="BY319" s="5">
        <v>0.149005851794065</v>
      </c>
      <c r="BZ319" s="5">
        <v>8.3084367395157996E-2</v>
      </c>
      <c r="CA319" s="5">
        <v>0.153895729037718</v>
      </c>
      <c r="CB319" s="5">
        <v>5.5341956418825403E-2</v>
      </c>
      <c r="CC319" s="5">
        <v>9.3397590818123197E-2</v>
      </c>
      <c r="CD319" s="5">
        <v>-8.4153920823738203E-3</v>
      </c>
      <c r="CE319" s="5">
        <v>8.9873497398997498E-2</v>
      </c>
      <c r="CF319" s="5">
        <v>3.3206376359291002E-2</v>
      </c>
      <c r="CG319" s="5">
        <v>9.9218975421985503E-2</v>
      </c>
      <c r="CH319" s="5">
        <v>9.7872475056151403E-2</v>
      </c>
      <c r="CI319" s="5">
        <v>9.0781669678111805E-3</v>
      </c>
      <c r="CJ319" s="5">
        <v>0.100425167943848</v>
      </c>
      <c r="CK319" s="5">
        <v>-2.9764821878337001E-2</v>
      </c>
      <c r="CL319" s="5">
        <v>-0.70184174018645196</v>
      </c>
      <c r="CM319" s="5">
        <v>0.69427101139743397</v>
      </c>
      <c r="CN319" s="5">
        <v>-0.68420464333952902</v>
      </c>
      <c r="CO319" s="5">
        <v>0.69588645922053805</v>
      </c>
      <c r="CP319" s="5">
        <v>-1.93294251850104E-2</v>
      </c>
      <c r="CQ319" s="5">
        <v>0.126497080174264</v>
      </c>
      <c r="CR319" s="5">
        <v>-9.2270959612802295E-2</v>
      </c>
      <c r="CS319" s="5">
        <v>0.19465925390071201</v>
      </c>
      <c r="CT319" s="5">
        <v>-0.57035099326879102</v>
      </c>
      <c r="CU319" s="5">
        <v>0.52407733459551198</v>
      </c>
      <c r="CV319" s="5">
        <v>-9.88228280017137E-2</v>
      </c>
      <c r="CW319" s="5">
        <v>0.21727314257424199</v>
      </c>
      <c r="CX319" s="5">
        <v>0.15558216969123101</v>
      </c>
      <c r="CY319" s="5">
        <v>2.1634873296674101E-2</v>
      </c>
      <c r="CZ319" s="5">
        <v>3.0698691626985599E-2</v>
      </c>
      <c r="DA319" s="5">
        <v>0.17391620408404501</v>
      </c>
      <c r="DB319" s="5">
        <v>0.210090907829975</v>
      </c>
      <c r="DC319" s="5">
        <v>-2.04402066185119E-2</v>
      </c>
      <c r="DD319" s="5">
        <v>-1.96262182443071E-2</v>
      </c>
      <c r="DE319" s="5">
        <v>0.13875223259267899</v>
      </c>
      <c r="DF319" s="5">
        <v>0.114806830828851</v>
      </c>
      <c r="DG319" s="5">
        <v>1.42232251914029E-2</v>
      </c>
      <c r="DH319" s="5">
        <v>-0.31807286774129401</v>
      </c>
      <c r="DI319" s="5">
        <v>0.40276056130248</v>
      </c>
      <c r="DJ319" s="5">
        <v>-0.42858105542906999</v>
      </c>
      <c r="DK319" s="5">
        <v>0.35071358513448803</v>
      </c>
      <c r="DL319" s="5">
        <v>-6.0918265016820801E-2</v>
      </c>
      <c r="DM319" s="5">
        <v>0.19350091542360701</v>
      </c>
      <c r="DN319" s="5">
        <v>-0.39055776816661403</v>
      </c>
      <c r="DO319" s="5">
        <v>0.28298397616445298</v>
      </c>
      <c r="DP319" s="5">
        <v>0.12853400589035799</v>
      </c>
      <c r="DQ319" s="5">
        <v>-3.7924100584705099E-2</v>
      </c>
      <c r="DR319" s="5">
        <v>-0.61608576778455504</v>
      </c>
      <c r="DS319" s="5">
        <v>0.70219907205097598</v>
      </c>
      <c r="DT319" s="5">
        <v>7.9348627048109702E-2</v>
      </c>
      <c r="DU319" s="5">
        <v>-7.9402882037371194E-3</v>
      </c>
      <c r="DV319" s="5">
        <v>-3.0215461747225902E-2</v>
      </c>
      <c r="DW319" s="5">
        <v>0.18344851962012901</v>
      </c>
      <c r="DX319" s="5">
        <v>-0.46139763924633198</v>
      </c>
      <c r="DY319" s="5">
        <v>0.35999831145641198</v>
      </c>
      <c r="DZ319" s="5">
        <v>-0.40285428714503502</v>
      </c>
      <c r="EA319" s="5">
        <v>0.32110320771944001</v>
      </c>
      <c r="EB319" s="5">
        <v>-9.6417217856466196E-3</v>
      </c>
      <c r="EC319" s="5">
        <v>0.16088942592730099</v>
      </c>
      <c r="ED319" s="5">
        <v>-1.24949794161215E-2</v>
      </c>
      <c r="EE319" s="5">
        <v>0.17050601268564999</v>
      </c>
      <c r="EF319" s="5">
        <v>-0.11029861789970501</v>
      </c>
      <c r="EG319" s="5">
        <v>0.21237641727343501</v>
      </c>
      <c r="EH319" s="5">
        <v>2.12461009763441E-2</v>
      </c>
      <c r="EI319" s="5">
        <v>0.15414195836139899</v>
      </c>
      <c r="EJ319" s="5">
        <v>2.14224703058865E-3</v>
      </c>
      <c r="EK319" s="5">
        <v>0.18007375494540301</v>
      </c>
      <c r="EL319" s="5">
        <v>0.115217813297198</v>
      </c>
      <c r="EM319" s="5">
        <v>2.7474112422905199E-2</v>
      </c>
      <c r="EN319" s="5">
        <v>-0.181969717419703</v>
      </c>
      <c r="EO319" s="5">
        <v>0.23028164346506799</v>
      </c>
      <c r="EP319" s="5">
        <v>-8.2733449761452402E-2</v>
      </c>
      <c r="EQ319" s="5">
        <v>0.190645771594145</v>
      </c>
      <c r="ER319" s="5">
        <v>5.6237420680094602E-2</v>
      </c>
      <c r="ES319" s="5">
        <v>0.14816616211321099</v>
      </c>
      <c r="ET319" s="5">
        <v>9.6981823297929204E-2</v>
      </c>
      <c r="EU319" s="5">
        <v>0.114641856841245</v>
      </c>
      <c r="EV319" s="5">
        <v>0.12526887385058499</v>
      </c>
      <c r="EW319" s="5">
        <v>0.110911520877205</v>
      </c>
      <c r="EX319" s="5">
        <v>0.18771951286163299</v>
      </c>
      <c r="EY319" s="5">
        <v>-2.61539289775309E-2</v>
      </c>
      <c r="EZ319" s="5">
        <v>5.1431291597928398E-2</v>
      </c>
      <c r="FA319" s="5">
        <v>0.13523707062541701</v>
      </c>
      <c r="FB319" s="5">
        <v>-0.70756787783393105</v>
      </c>
      <c r="FC319" s="5">
        <v>0.83993464228736303</v>
      </c>
      <c r="FD319" s="5">
        <v>-6.1036496003407201E-2</v>
      </c>
      <c r="FE319" s="5">
        <v>0.19765234782709601</v>
      </c>
      <c r="FF319" s="5">
        <v>-0.71377355537453002</v>
      </c>
      <c r="FG319" s="5">
        <v>0.80208280882872895</v>
      </c>
      <c r="FH319" s="5">
        <v>0.23226488362050299</v>
      </c>
      <c r="FI319" s="5">
        <v>-0.13237121317746101</v>
      </c>
      <c r="FJ319" s="5">
        <v>8.3295050118699004E-2</v>
      </c>
      <c r="FK319" s="5">
        <v>0.130833669803364</v>
      </c>
      <c r="FL319" s="5">
        <v>-0.26930979815663803</v>
      </c>
      <c r="FM319" s="5">
        <v>9.9822689303680698E-2</v>
      </c>
      <c r="FN319" s="5">
        <v>7.2391477295943299E-3</v>
      </c>
      <c r="FO319" s="5">
        <v>9.8848238403647801E-2</v>
      </c>
      <c r="FP319" s="5">
        <v>0.17004046799488101</v>
      </c>
      <c r="FQ319" s="5">
        <v>-2.15315433453881E-2</v>
      </c>
      <c r="FR319" s="5">
        <v>-9.2529262712510801E-2</v>
      </c>
      <c r="FS319" s="5">
        <v>-0.15183945535971699</v>
      </c>
      <c r="FT319" s="5">
        <v>0.155343011350631</v>
      </c>
      <c r="FU319" s="5">
        <v>-1.8754273955075701E-2</v>
      </c>
      <c r="FV319" s="5">
        <v>-0.56338996618076298</v>
      </c>
      <c r="FW319" s="5">
        <v>0.74878771726783599</v>
      </c>
      <c r="FX319" s="5">
        <v>1.10033754879052E-2</v>
      </c>
      <c r="FY319" s="5">
        <v>0.13916575399124301</v>
      </c>
      <c r="FZ319" s="5">
        <v>0.127769485624321</v>
      </c>
      <c r="GA319" s="5">
        <v>1.64950167711597E-2</v>
      </c>
      <c r="GB319" s="5">
        <v>-0.52667387951256295</v>
      </c>
      <c r="GC319" s="5">
        <v>0.60630254396039795</v>
      </c>
      <c r="GD319" s="5">
        <v>-0.42767635031206003</v>
      </c>
      <c r="GE319" s="5">
        <v>0.32447238437401998</v>
      </c>
      <c r="GF319" s="5">
        <v>3.9878684193390801E-2</v>
      </c>
      <c r="GG319" s="5">
        <v>0.151009732759637</v>
      </c>
      <c r="GH319" s="5">
        <v>-0.29374650155514997</v>
      </c>
      <c r="GI319" s="5">
        <v>3.7468157898378297E-2</v>
      </c>
      <c r="GJ319" s="5">
        <v>0.17724483504727001</v>
      </c>
      <c r="GK319" s="5">
        <v>1.10895653619031E-2</v>
      </c>
      <c r="GL319" s="5">
        <v>-0.100434020349248</v>
      </c>
      <c r="GM319" s="5">
        <v>0.20695488739687201</v>
      </c>
      <c r="GN319" s="5">
        <v>-0.46366735438133799</v>
      </c>
      <c r="GO319" s="5">
        <v>0.55462815353696004</v>
      </c>
      <c r="GP319" s="5">
        <v>0.17851528541829101</v>
      </c>
      <c r="GQ319" s="5">
        <v>2.3101296404847E-2</v>
      </c>
      <c r="GR319" s="5">
        <v>0.16597896473631699</v>
      </c>
      <c r="GS319" s="5">
        <v>-4.2530599503411998E-3</v>
      </c>
      <c r="GT319" s="5">
        <v>-6.9577920579059593E-2</v>
      </c>
      <c r="GU319" s="5">
        <v>0.103290864315152</v>
      </c>
      <c r="GV319" s="5">
        <v>-7.0256553319545695E-2</v>
      </c>
      <c r="GW319" s="5">
        <v>0.21235647891211601</v>
      </c>
      <c r="GX319" s="5">
        <v>0.192093433550418</v>
      </c>
      <c r="GY319" s="5">
        <v>-4.0184656619246001E-2</v>
      </c>
      <c r="GZ319" s="5">
        <v>-0.66988029414813299</v>
      </c>
      <c r="HA319" s="5">
        <v>0.62590947638979799</v>
      </c>
      <c r="HB319" s="5">
        <v>5.7664200651474498E-2</v>
      </c>
      <c r="HC319" s="5">
        <v>0.156817805300042</v>
      </c>
      <c r="HD319" s="5">
        <v>-9.4957530814618205E-2</v>
      </c>
      <c r="HE319" s="5">
        <v>-4.6526949917843098E-2</v>
      </c>
      <c r="HF319" s="5">
        <v>-0.49137834613831199</v>
      </c>
      <c r="HG319" s="5">
        <v>0.41977196228431302</v>
      </c>
      <c r="HH319" s="5">
        <v>-0.66091979098117104</v>
      </c>
      <c r="HI319" s="5">
        <v>0.67612738850592102</v>
      </c>
      <c r="HJ319" s="5">
        <v>-0.46329350882019998</v>
      </c>
      <c r="HK319" s="5">
        <v>0.38837924060319501</v>
      </c>
      <c r="HL319" s="5">
        <v>1.2284600053942001E-3</v>
      </c>
      <c r="HM319" s="5">
        <v>0.102209842944221</v>
      </c>
      <c r="HN319" s="5">
        <v>-0.60304549859093304</v>
      </c>
      <c r="HO319" s="5">
        <v>0.65014347986638699</v>
      </c>
      <c r="HP319" s="5">
        <v>8.1895688128021504E-2</v>
      </c>
      <c r="HQ319" s="5">
        <v>0.11870909857766</v>
      </c>
      <c r="HR319" s="5">
        <v>0.118245021834989</v>
      </c>
      <c r="HS319" s="5">
        <v>7.1239562888368899E-2</v>
      </c>
      <c r="HT319" s="5">
        <v>-0.665095599741647</v>
      </c>
      <c r="HU319" s="5">
        <v>0.73681524826542699</v>
      </c>
      <c r="HV319" s="5">
        <v>7.9384404239696393E-2</v>
      </c>
      <c r="HW319" s="5">
        <v>8.2965185526881605E-2</v>
      </c>
      <c r="HX319" s="5">
        <v>0.14863426090194101</v>
      </c>
      <c r="HY319" s="5">
        <v>2.9999675771906799E-2</v>
      </c>
      <c r="HZ319" s="5">
        <v>-0.71619946717975802</v>
      </c>
      <c r="IA319" s="5">
        <v>0.74306824429651896</v>
      </c>
      <c r="IB319" s="5">
        <v>-0.350086296852958</v>
      </c>
      <c r="IC319" s="5">
        <v>0.217013965036705</v>
      </c>
      <c r="ID319" s="5">
        <v>2.7694634209532199E-4</v>
      </c>
      <c r="IE319" s="5">
        <v>0.29455777586769399</v>
      </c>
      <c r="IF319" s="5">
        <v>0.11606112849894799</v>
      </c>
      <c r="IG319" s="5">
        <v>4.9565372591452203E-2</v>
      </c>
      <c r="IH319" s="5">
        <v>-7.6625447981972003E-2</v>
      </c>
      <c r="II319" s="5">
        <v>0.19106162811545199</v>
      </c>
      <c r="IJ319" s="5">
        <v>8.7478824476556194E-2</v>
      </c>
      <c r="IK319" s="5">
        <v>-2.8900646829944799E-2</v>
      </c>
      <c r="IL319" s="5">
        <v>0.103802234622093</v>
      </c>
      <c r="IM319" s="5">
        <v>0.14294030586199</v>
      </c>
      <c r="IN319" s="5">
        <v>0.19482796555840901</v>
      </c>
      <c r="IO319" s="5">
        <v>-2.4477504494080302E-2</v>
      </c>
      <c r="IP319" s="5">
        <v>-2.07227290664963E-2</v>
      </c>
      <c r="IQ319" s="5">
        <v>0.209683979282516</v>
      </c>
      <c r="IR319" s="5">
        <v>6.0285991958784098E-2</v>
      </c>
      <c r="IS319" s="5">
        <v>3.6778997362336002E-2</v>
      </c>
      <c r="IT319" s="5">
        <v>9.3477853524971705E-2</v>
      </c>
      <c r="IU319" s="5">
        <v>6.7902154605779003E-2</v>
      </c>
      <c r="IV319" s="5">
        <v>-9.5705509685113405E-2</v>
      </c>
      <c r="IW319" s="5">
        <v>0.22063916068415401</v>
      </c>
      <c r="IX319" s="5">
        <v>2.2124260305801498E-2</v>
      </c>
      <c r="IY319" s="5">
        <v>0.15135518296866099</v>
      </c>
      <c r="IZ319" s="5">
        <v>-0.63464013765488303</v>
      </c>
      <c r="JA319" s="5">
        <v>0.63404562227638805</v>
      </c>
      <c r="JB319" s="5">
        <v>-0.44140537917150902</v>
      </c>
      <c r="JC319" s="5">
        <v>0.34499848702153402</v>
      </c>
      <c r="JD319" s="5">
        <v>-0.208674681201243</v>
      </c>
      <c r="JE319" s="5">
        <v>0.21806095351773</v>
      </c>
      <c r="JF319" s="5">
        <v>0.100245022079577</v>
      </c>
      <c r="JG319" s="5">
        <v>-1.04965014042416E-2</v>
      </c>
      <c r="JH319" s="5">
        <v>-0.23872578241895201</v>
      </c>
      <c r="JI319" s="5">
        <v>0.16759703832683501</v>
      </c>
      <c r="JJ319" s="5">
        <v>6.0541230410160699E-2</v>
      </c>
      <c r="JK319" s="5">
        <v>0.16299154533731</v>
      </c>
      <c r="JL319" s="5">
        <v>2.2495193233413899E-2</v>
      </c>
      <c r="JM319" s="5">
        <v>0.162406248777797</v>
      </c>
      <c r="JN319" s="5">
        <v>-1.00661695869053E-2</v>
      </c>
      <c r="JO319" s="5">
        <v>0.17930429953489199</v>
      </c>
      <c r="JP319" s="5">
        <v>9.7879042961607293E-2</v>
      </c>
      <c r="JQ319" s="5">
        <v>9.9692268187916294E-2</v>
      </c>
      <c r="JR319" s="5">
        <v>0.185107764960945</v>
      </c>
      <c r="JS319" s="5">
        <v>-2.8311074583449301E-2</v>
      </c>
      <c r="JT319" s="5">
        <v>0.13791464680652199</v>
      </c>
      <c r="JU319" s="5">
        <v>-4.9134182210994103E-2</v>
      </c>
      <c r="JV319" s="5">
        <v>0.190142661906752</v>
      </c>
      <c r="JW319" s="5">
        <v>-2.0550561502038499E-2</v>
      </c>
      <c r="JX319" s="5">
        <v>-0.63560585802077996</v>
      </c>
      <c r="JY319" s="5">
        <v>0.610942761123901</v>
      </c>
      <c r="JZ319" s="5">
        <v>-0.10643866044610301</v>
      </c>
      <c r="KA319" s="5">
        <v>0.224232324018759</v>
      </c>
      <c r="KB319" s="5">
        <v>-0.52576110422831102</v>
      </c>
      <c r="KC319" s="5">
        <v>0.46137920675064997</v>
      </c>
      <c r="KD319" s="5">
        <v>-0.13665957599541201</v>
      </c>
      <c r="KE319" s="5">
        <v>0.221039255306969</v>
      </c>
      <c r="KF319" s="5">
        <v>0.16664157384963699</v>
      </c>
      <c r="KG319" s="5">
        <v>-3.78620390300521E-2</v>
      </c>
      <c r="KH319" s="5">
        <v>0.124372600913947</v>
      </c>
      <c r="KI319" s="5">
        <v>-2.3408032713503001E-3</v>
      </c>
      <c r="KJ319" s="5">
        <v>0.155959506186338</v>
      </c>
      <c r="KK319" s="5">
        <v>7.9028679955450501E-2</v>
      </c>
      <c r="KL319" s="5">
        <v>1.34893878665469E-2</v>
      </c>
      <c r="KM319" s="5">
        <v>-7.86022731076917E-3</v>
      </c>
      <c r="KN319" s="5">
        <v>-0.66095180429369305</v>
      </c>
      <c r="KO319" s="5">
        <v>0.69930763273883501</v>
      </c>
      <c r="KP319" s="5">
        <v>-0.35017490385407901</v>
      </c>
      <c r="KQ319" s="5">
        <v>0.199055355734195</v>
      </c>
      <c r="KR319" s="5">
        <v>-5.1604060912996699E-2</v>
      </c>
      <c r="KS319" s="5">
        <v>0.17652735620493001</v>
      </c>
      <c r="KT319" s="5">
        <v>0.17474983807136901</v>
      </c>
      <c r="KU319" s="5">
        <v>2.1065605175432101E-2</v>
      </c>
      <c r="KV319" s="5">
        <v>2.71120509248358E-2</v>
      </c>
      <c r="KW319" s="5">
        <v>0.13814889568221</v>
      </c>
      <c r="KX319" s="5">
        <v>2.5755014899001599E-2</v>
      </c>
      <c r="KY319" s="5">
        <v>0.14384369022271401</v>
      </c>
      <c r="KZ319" s="5">
        <v>6.7755135421981194E-2</v>
      </c>
      <c r="LA319" s="5">
        <v>2.0195662860223E-2</v>
      </c>
      <c r="LB319" s="5">
        <v>7.1224769461935303E-2</v>
      </c>
      <c r="LC319" s="5">
        <v>9.2835394321131595E-2</v>
      </c>
      <c r="LD319" s="5">
        <v>4.9494479188298399E-2</v>
      </c>
      <c r="LE319" s="5">
        <v>0.14815503271516001</v>
      </c>
      <c r="LF319" s="5">
        <v>-0.826936121845251</v>
      </c>
      <c r="LG319" s="5">
        <v>1</v>
      </c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</row>
    <row r="320" spans="1:389" x14ac:dyDescent="0.45">
      <c r="A320" s="4" t="str">
        <f ca="1">"SOM / beta1dist in "&amp;CELL("address",'damages-1990'!$J$161)</f>
        <v>SOM / beta1dist in '[BHM betas v3pd.xlsx]damages-1990'!$J$161</v>
      </c>
      <c r="B320" s="6">
        <v>0.24593889524236101</v>
      </c>
      <c r="C320" s="5">
        <v>0.142221927302425</v>
      </c>
      <c r="D320" s="5">
        <v>0.64958744903320098</v>
      </c>
      <c r="E320" s="5">
        <v>-0.37177063055297399</v>
      </c>
      <c r="F320" s="5">
        <v>0.141335682651444</v>
      </c>
      <c r="G320" s="5">
        <v>0.155571383303241</v>
      </c>
      <c r="H320" s="5">
        <v>-0.31011164071316999</v>
      </c>
      <c r="I320" s="5">
        <v>0.31094450462558099</v>
      </c>
      <c r="J320" s="5">
        <v>0.58115846344659405</v>
      </c>
      <c r="K320" s="5">
        <v>-0.23084254709083299</v>
      </c>
      <c r="L320" s="5">
        <v>0.41988755424186103</v>
      </c>
      <c r="M320" s="5">
        <v>-6.8374206031556306E-2</v>
      </c>
      <c r="N320" s="5">
        <v>2.5212958755009299E-2</v>
      </c>
      <c r="O320" s="5">
        <v>-6.8032606639621698E-2</v>
      </c>
      <c r="P320" s="5">
        <v>0.35221722585033799</v>
      </c>
      <c r="Q320" s="5">
        <v>-0.19752648804617201</v>
      </c>
      <c r="R320" s="5">
        <v>0.52638057000579597</v>
      </c>
      <c r="S320" s="5">
        <v>-0.197229945444206</v>
      </c>
      <c r="T320" s="5">
        <v>-3.0589757583592999E-2</v>
      </c>
      <c r="U320" s="5">
        <v>9.4114742539227105E-3</v>
      </c>
      <c r="V320" s="5">
        <v>0.229126849420458</v>
      </c>
      <c r="W320" s="5">
        <v>0.18465319893562801</v>
      </c>
      <c r="X320" s="5">
        <v>0.62658602947473296</v>
      </c>
      <c r="Y320" s="5">
        <v>-0.32684879226180602</v>
      </c>
      <c r="Z320" s="5">
        <v>-6.2963220290876795E-2</v>
      </c>
      <c r="AA320" s="5">
        <v>0.179890361509466</v>
      </c>
      <c r="AB320" s="5">
        <v>0.49761341452206798</v>
      </c>
      <c r="AC320" s="5">
        <v>-0.32463327098377098</v>
      </c>
      <c r="AD320" s="5">
        <v>0.46310270807411702</v>
      </c>
      <c r="AE320" s="5">
        <v>-0.25112885080011299</v>
      </c>
      <c r="AF320" s="5">
        <v>0.50455771659368098</v>
      </c>
      <c r="AG320" s="5">
        <v>-0.25571882620108999</v>
      </c>
      <c r="AH320" s="5">
        <v>0.115779401974763</v>
      </c>
      <c r="AI320" s="5">
        <v>0.105619556258279</v>
      </c>
      <c r="AJ320" s="5">
        <v>0.59186350307416502</v>
      </c>
      <c r="AK320" s="5">
        <v>-0.21209812016785001</v>
      </c>
      <c r="AL320" s="5">
        <v>0.35277503334228499</v>
      </c>
      <c r="AM320" s="5">
        <v>-0.15227732346891801</v>
      </c>
      <c r="AN320" s="5">
        <v>0.103009843603068</v>
      </c>
      <c r="AO320" s="5">
        <v>-1.2823718514673999E-2</v>
      </c>
      <c r="AP320" s="5">
        <v>-8.2989511126845703E-2</v>
      </c>
      <c r="AQ320" s="5">
        <v>5.2685608827022903E-2</v>
      </c>
      <c r="AR320" s="5">
        <v>0.64090229869523696</v>
      </c>
      <c r="AS320" s="5">
        <v>-0.42030592207127199</v>
      </c>
      <c r="AT320" s="5">
        <v>0.25985772932227102</v>
      </c>
      <c r="AU320" s="5">
        <v>-1.96817535989527E-2</v>
      </c>
      <c r="AV320" s="5">
        <v>0.56529096322460004</v>
      </c>
      <c r="AW320" s="5">
        <v>-0.243146010166499</v>
      </c>
      <c r="AX320" s="5">
        <v>0.68681595217157398</v>
      </c>
      <c r="AY320" s="5">
        <v>-0.441393018985202</v>
      </c>
      <c r="AZ320" s="5">
        <v>0.51252022068215897</v>
      </c>
      <c r="BA320" s="5">
        <v>-0.35434998185375899</v>
      </c>
      <c r="BB320" s="5">
        <v>0.53228820892042195</v>
      </c>
      <c r="BC320" s="5">
        <v>-0.24801419688930099</v>
      </c>
      <c r="BD320" s="5">
        <v>6.8599928923063894E-2</v>
      </c>
      <c r="BE320" s="5">
        <v>0.31822967014027798</v>
      </c>
      <c r="BF320" s="5">
        <v>0.53620267037701597</v>
      </c>
      <c r="BG320" s="5">
        <v>-0.26534437549575801</v>
      </c>
      <c r="BH320" s="5">
        <v>0.67747496258770101</v>
      </c>
      <c r="BI320" s="5">
        <v>-0.43913025859059601</v>
      </c>
      <c r="BJ320" s="5">
        <v>-0.25998534818943903</v>
      </c>
      <c r="BK320" s="5">
        <v>0.115925390943606</v>
      </c>
      <c r="BL320" s="5">
        <v>-6.9357357475044804E-2</v>
      </c>
      <c r="BM320" s="5">
        <v>2.7849258429621101E-2</v>
      </c>
      <c r="BN320" s="5">
        <v>-0.19110705469911801</v>
      </c>
      <c r="BO320" s="5">
        <v>0.35778599543934098</v>
      </c>
      <c r="BP320" s="5">
        <v>-0.28167661982090197</v>
      </c>
      <c r="BQ320" s="5">
        <v>0.49225107714427901</v>
      </c>
      <c r="BR320" s="5">
        <v>0.48543229300472102</v>
      </c>
      <c r="BS320" s="5">
        <v>-0.32752254565936401</v>
      </c>
      <c r="BT320" s="5">
        <v>0.63840970891137605</v>
      </c>
      <c r="BU320" s="5">
        <v>-0.39984398080583999</v>
      </c>
      <c r="BV320" s="5">
        <v>0.63187840484117697</v>
      </c>
      <c r="BW320" s="5">
        <v>-0.38447961579247097</v>
      </c>
      <c r="BX320" s="5">
        <v>0.54721160624998799</v>
      </c>
      <c r="BY320" s="5">
        <v>-0.36661341227430699</v>
      </c>
      <c r="BZ320" s="5">
        <v>0.62223832837857795</v>
      </c>
      <c r="CA320" s="5">
        <v>-0.39972296091535098</v>
      </c>
      <c r="CB320" s="5">
        <v>0.44236528802068198</v>
      </c>
      <c r="CC320" s="5">
        <v>-0.23153499237671199</v>
      </c>
      <c r="CD320" s="5">
        <v>0.28934640334003398</v>
      </c>
      <c r="CE320" s="5">
        <v>-5.4973343019580699E-2</v>
      </c>
      <c r="CF320" s="5">
        <v>0.67270902941316002</v>
      </c>
      <c r="CG320" s="5">
        <v>-0.48598948162426298</v>
      </c>
      <c r="CH320" s="5">
        <v>0.36659008074274801</v>
      </c>
      <c r="CI320" s="5">
        <v>-0.22131854427766301</v>
      </c>
      <c r="CJ320" s="5">
        <v>0.24097333678448801</v>
      </c>
      <c r="CK320" s="5">
        <v>0.10227394317096</v>
      </c>
      <c r="CL320" s="5">
        <v>-2.4092467808364201E-2</v>
      </c>
      <c r="CM320" s="5">
        <v>4.6757508879474698E-2</v>
      </c>
      <c r="CN320" s="5">
        <v>-5.57987673493828E-2</v>
      </c>
      <c r="CO320" s="5">
        <v>0.12089737304809201</v>
      </c>
      <c r="CP320" s="5">
        <v>0.61894270746539803</v>
      </c>
      <c r="CQ320" s="5">
        <v>-0.39860765032356998</v>
      </c>
      <c r="CR320" s="5">
        <v>0.393215691101933</v>
      </c>
      <c r="CS320" s="5">
        <v>-0.22719439864226801</v>
      </c>
      <c r="CT320" s="5">
        <v>-5.5704748025566797E-2</v>
      </c>
      <c r="CU320" s="5">
        <v>3.8582464775921102E-2</v>
      </c>
      <c r="CV320" s="5">
        <v>0.290495441720791</v>
      </c>
      <c r="CW320" s="5">
        <v>-0.12731121921798699</v>
      </c>
      <c r="CX320" s="5">
        <v>0.454631018321138</v>
      </c>
      <c r="CY320" s="5">
        <v>-0.113067735552121</v>
      </c>
      <c r="CZ320" s="5">
        <v>0.60082473466876896</v>
      </c>
      <c r="DA320" s="5">
        <v>-0.36662027966176403</v>
      </c>
      <c r="DB320" s="5">
        <v>0.345597695688729</v>
      </c>
      <c r="DC320" s="5">
        <v>0.163403439666709</v>
      </c>
      <c r="DD320" s="5">
        <v>0.506603065042315</v>
      </c>
      <c r="DE320" s="5">
        <v>-0.24773884275302099</v>
      </c>
      <c r="DF320" s="5">
        <v>0.56623568020551795</v>
      </c>
      <c r="DG320" s="5">
        <v>-0.293026989423054</v>
      </c>
      <c r="DH320" s="5">
        <v>0.342930043339218</v>
      </c>
      <c r="DI320" s="5">
        <v>-3.37845938663901E-2</v>
      </c>
      <c r="DJ320" s="5">
        <v>-0.14591652034352201</v>
      </c>
      <c r="DK320" s="5">
        <v>8.2202606279686993E-2</v>
      </c>
      <c r="DL320" s="5">
        <v>0.70659336112354498</v>
      </c>
      <c r="DM320" s="5">
        <v>-0.41455714324610299</v>
      </c>
      <c r="DN320" s="5">
        <v>-0.26763912584298999</v>
      </c>
      <c r="DO320" s="5">
        <v>0.14777640346025001</v>
      </c>
      <c r="DP320" s="5">
        <v>0.23507356431889601</v>
      </c>
      <c r="DQ320" s="5">
        <v>3.9241590649480802E-2</v>
      </c>
      <c r="DR320" s="5">
        <v>4.9677630226959299E-2</v>
      </c>
      <c r="DS320" s="5">
        <v>0.163637407445473</v>
      </c>
      <c r="DT320" s="5">
        <v>0.52094226459055903</v>
      </c>
      <c r="DU320" s="5">
        <v>-0.35840281192261902</v>
      </c>
      <c r="DV320" s="5">
        <v>0.33281792442116997</v>
      </c>
      <c r="DW320" s="5">
        <v>-0.16362007129495501</v>
      </c>
      <c r="DX320" s="5">
        <v>-0.292503789262891</v>
      </c>
      <c r="DY320" s="5">
        <v>0.366182210651399</v>
      </c>
      <c r="DZ320" s="5">
        <v>6.5331567632026494E-2</v>
      </c>
      <c r="EA320" s="5">
        <v>-9.7677293983110799E-2</v>
      </c>
      <c r="EB320" s="5">
        <v>0.56788395925340296</v>
      </c>
      <c r="EC320" s="5">
        <v>-0.35290774103328998</v>
      </c>
      <c r="ED320" s="5">
        <v>0.58069180636798301</v>
      </c>
      <c r="EE320" s="5">
        <v>-0.35878611197502902</v>
      </c>
      <c r="EF320" s="5">
        <v>0.38117676146880097</v>
      </c>
      <c r="EG320" s="5">
        <v>-0.22136364119531601</v>
      </c>
      <c r="EH320" s="5">
        <v>0.63640577575301804</v>
      </c>
      <c r="EI320" s="5">
        <v>-0.34523011006113002</v>
      </c>
      <c r="EJ320" s="5">
        <v>0.62412063367550197</v>
      </c>
      <c r="EK320" s="5">
        <v>-0.34032285209694701</v>
      </c>
      <c r="EL320" s="5">
        <v>0.65726940682677903</v>
      </c>
      <c r="EM320" s="5">
        <v>-0.45459191465205401</v>
      </c>
      <c r="EN320" s="5">
        <v>0.134426259471156</v>
      </c>
      <c r="EO320" s="5">
        <v>0.216662993192622</v>
      </c>
      <c r="EP320" s="5">
        <v>0.46277287249847898</v>
      </c>
      <c r="EQ320" s="5">
        <v>-0.290856964781949</v>
      </c>
      <c r="ER320" s="5">
        <v>0.66416571518089296</v>
      </c>
      <c r="ES320" s="5">
        <v>-0.42508825553957802</v>
      </c>
      <c r="ET320" s="5">
        <v>0.63146905576957202</v>
      </c>
      <c r="EU320" s="5">
        <v>-0.45592915149774199</v>
      </c>
      <c r="EV320" s="5">
        <v>0.68911347247186205</v>
      </c>
      <c r="EW320" s="5">
        <v>-0.46556399356906197</v>
      </c>
      <c r="EX320" s="5">
        <v>0.533221737214708</v>
      </c>
      <c r="EY320" s="5">
        <v>-0.35800815664242103</v>
      </c>
      <c r="EZ320" s="5">
        <v>0.63710841395110596</v>
      </c>
      <c r="FA320" s="5">
        <v>-0.38915657035848</v>
      </c>
      <c r="FB320" s="5">
        <v>0.16620507798582501</v>
      </c>
      <c r="FC320" s="5">
        <v>3.3304271049630602E-2</v>
      </c>
      <c r="FD320" s="5">
        <v>0.36974450456010999</v>
      </c>
      <c r="FE320" s="5">
        <v>-0.18749000268287799</v>
      </c>
      <c r="FF320" s="5">
        <v>0.11885987813297499</v>
      </c>
      <c r="FG320" s="5">
        <v>3.5806184143142301E-2</v>
      </c>
      <c r="FH320" s="5">
        <v>0.49819638442736902</v>
      </c>
      <c r="FI320" s="5">
        <v>-0.28216716595083502</v>
      </c>
      <c r="FJ320" s="5">
        <v>0.50033518088744</v>
      </c>
      <c r="FK320" s="5">
        <v>-0.12529828830644099</v>
      </c>
      <c r="FL320" s="5">
        <v>-0.32201931162956499</v>
      </c>
      <c r="FM320" s="5">
        <v>0.41625674066579899</v>
      </c>
      <c r="FN320" s="5">
        <v>0.46650539563289201</v>
      </c>
      <c r="FO320" s="5">
        <v>-7.72179901056885E-2</v>
      </c>
      <c r="FP320" s="5">
        <v>0.47238538709601602</v>
      </c>
      <c r="FQ320" s="5">
        <v>-4.9760705822018601E-2</v>
      </c>
      <c r="FR320" s="5">
        <v>-0.34500997040894499</v>
      </c>
      <c r="FS320" s="5">
        <v>0.261917290420211</v>
      </c>
      <c r="FT320" s="5">
        <v>0.41775688758082202</v>
      </c>
      <c r="FU320" s="5">
        <v>5.7561135379341002E-2</v>
      </c>
      <c r="FV320" s="5">
        <v>0.224693760963081</v>
      </c>
      <c r="FW320" s="5">
        <v>5.6721076114704103E-2</v>
      </c>
      <c r="FX320" s="5">
        <v>0.51421711337646803</v>
      </c>
      <c r="FY320" s="5">
        <v>-0.32691527693352301</v>
      </c>
      <c r="FZ320" s="5">
        <v>0.44999342397766201</v>
      </c>
      <c r="GA320" s="5">
        <v>3.6562965420873499E-2</v>
      </c>
      <c r="GB320" s="5">
        <v>9.9929368153872905E-2</v>
      </c>
      <c r="GC320" s="5">
        <v>0.16947081205012701</v>
      </c>
      <c r="GD320" s="5">
        <v>-0.199088506316283</v>
      </c>
      <c r="GE320" s="5">
        <v>0.19543105876220199</v>
      </c>
      <c r="GF320" s="5">
        <v>0.67939808640396304</v>
      </c>
      <c r="GG320" s="5">
        <v>-0.43179602385239002</v>
      </c>
      <c r="GH320" s="5">
        <v>-0.431005234444714</v>
      </c>
      <c r="GI320" s="5">
        <v>0.375783736021639</v>
      </c>
      <c r="GJ320" s="5">
        <v>0.58775529991807796</v>
      </c>
      <c r="GK320" s="5">
        <v>-0.37844742616346499</v>
      </c>
      <c r="GL320" s="5">
        <v>0.33188148633150599</v>
      </c>
      <c r="GM320" s="5">
        <v>-0.16738996310170401</v>
      </c>
      <c r="GN320" s="5">
        <v>0.111948027050409</v>
      </c>
      <c r="GO320" s="5">
        <v>0.200070144544961</v>
      </c>
      <c r="GP320" s="5">
        <v>0.559764119493107</v>
      </c>
      <c r="GQ320" s="5">
        <v>-0.15953668319905501</v>
      </c>
      <c r="GR320" s="5">
        <v>0.54465308939311596</v>
      </c>
      <c r="GS320" s="5">
        <v>-0.35411906127651599</v>
      </c>
      <c r="GT320" s="5">
        <v>0.33580898154092498</v>
      </c>
      <c r="GU320" s="5">
        <v>7.1603070884300998E-2</v>
      </c>
      <c r="GV320" s="5">
        <v>0.40249404730305799</v>
      </c>
      <c r="GW320" s="5">
        <v>-0.28557413390584602</v>
      </c>
      <c r="GX320" s="5">
        <v>0.29909659663043497</v>
      </c>
      <c r="GY320" s="5">
        <v>7.0608089371082094E-2</v>
      </c>
      <c r="GZ320" s="5">
        <v>-5.1062601650847798E-2</v>
      </c>
      <c r="HA320" s="5">
        <v>8.3297219283158495E-3</v>
      </c>
      <c r="HB320" s="5">
        <v>0.52959669763160899</v>
      </c>
      <c r="HC320" s="5">
        <v>-0.33836227550125803</v>
      </c>
      <c r="HD320" s="5">
        <v>0.19741436775452301</v>
      </c>
      <c r="HE320" s="5">
        <v>0.14352133029599501</v>
      </c>
      <c r="HF320" s="5">
        <v>-0.125453967109172</v>
      </c>
      <c r="HG320" s="5">
        <v>9.4741473698220904E-2</v>
      </c>
      <c r="HH320" s="5">
        <v>-8.0303772033445894E-2</v>
      </c>
      <c r="HI320" s="5">
        <v>0.18006293918858199</v>
      </c>
      <c r="HJ320" s="5">
        <v>-0.12841363293437</v>
      </c>
      <c r="HK320" s="5">
        <v>7.6033012778613407E-2</v>
      </c>
      <c r="HL320" s="5">
        <v>0.56106333376377504</v>
      </c>
      <c r="HM320" s="5">
        <v>-0.262390413251121</v>
      </c>
      <c r="HN320" s="5">
        <v>9.5435796208922993E-2</v>
      </c>
      <c r="HO320" s="5">
        <v>4.3402462024429898E-2</v>
      </c>
      <c r="HP320" s="5">
        <v>0.40297001426869999</v>
      </c>
      <c r="HQ320" s="5">
        <v>-8.4201217795796396E-2</v>
      </c>
      <c r="HR320" s="5">
        <v>0.62390735833744204</v>
      </c>
      <c r="HS320" s="5">
        <v>-0.35630659466817499</v>
      </c>
      <c r="HT320" s="5">
        <v>9.0688226474457304E-2</v>
      </c>
      <c r="HU320" s="5">
        <v>0.108869888137421</v>
      </c>
      <c r="HV320" s="5">
        <v>0.41395120814511999</v>
      </c>
      <c r="HW320" s="5">
        <v>-0.14568824910438199</v>
      </c>
      <c r="HX320" s="5">
        <v>0.47267399436666202</v>
      </c>
      <c r="HY320" s="5">
        <v>-0.22426115945191699</v>
      </c>
      <c r="HZ320" s="5">
        <v>4.2851098262911697E-2</v>
      </c>
      <c r="IA320" s="5">
        <v>5.0808459987574999E-3</v>
      </c>
      <c r="IB320" s="5">
        <v>-0.44633609405305102</v>
      </c>
      <c r="IC320" s="5">
        <v>0.40289935566625001</v>
      </c>
      <c r="ID320" s="5">
        <v>0.52792854639124698</v>
      </c>
      <c r="IE320" s="5">
        <v>-0.190150499806094</v>
      </c>
      <c r="IF320" s="5">
        <v>0.46746295608295602</v>
      </c>
      <c r="IG320" s="5">
        <v>-0.16780414854575401</v>
      </c>
      <c r="IH320" s="5">
        <v>0.45648943546137499</v>
      </c>
      <c r="II320" s="5">
        <v>-0.291940395664047</v>
      </c>
      <c r="IJ320" s="5">
        <v>0.31349012090594602</v>
      </c>
      <c r="IK320" s="5">
        <v>-0.17525159941926</v>
      </c>
      <c r="IL320" s="5">
        <v>0.53171692590775099</v>
      </c>
      <c r="IM320" s="5">
        <v>-0.19536184807539</v>
      </c>
      <c r="IN320" s="5">
        <v>0.63179206453689796</v>
      </c>
      <c r="IO320" s="5">
        <v>-0.41769107423180601</v>
      </c>
      <c r="IP320" s="5">
        <v>0.61581899461100198</v>
      </c>
      <c r="IQ320" s="5">
        <v>-0.31028267730231102</v>
      </c>
      <c r="IR320" s="5">
        <v>0.27881475588012899</v>
      </c>
      <c r="IS320" s="5">
        <v>-2.2802647170670001E-2</v>
      </c>
      <c r="IT320" s="5">
        <v>0.36009361363335901</v>
      </c>
      <c r="IU320" s="5">
        <v>-5.0857521241499601E-2</v>
      </c>
      <c r="IV320" s="5">
        <v>0.38390346042805701</v>
      </c>
      <c r="IW320" s="5">
        <v>-0.17489275369871499</v>
      </c>
      <c r="IX320" s="5">
        <v>0.61296593889737605</v>
      </c>
      <c r="IY320" s="5">
        <v>-0.39720809520508898</v>
      </c>
      <c r="IZ320" s="5">
        <v>-3.3207718601598803E-2</v>
      </c>
      <c r="JA320" s="5">
        <v>0.115813255074249</v>
      </c>
      <c r="JB320" s="5">
        <v>-0.25604544870392498</v>
      </c>
      <c r="JC320" s="5">
        <v>0.118402308660765</v>
      </c>
      <c r="JD320" s="5">
        <v>0.26846889278218999</v>
      </c>
      <c r="JE320" s="5">
        <v>0.13370043306007601</v>
      </c>
      <c r="JF320" s="5">
        <v>0.370695486635089</v>
      </c>
      <c r="JG320" s="5">
        <v>-0.24923036768061399</v>
      </c>
      <c r="JH320" s="5">
        <v>0.214139097723306</v>
      </c>
      <c r="JI320" s="5">
        <v>-0.16352407954418499</v>
      </c>
      <c r="JJ320" s="5">
        <v>0.69604086547138999</v>
      </c>
      <c r="JK320" s="5">
        <v>-0.33308696487622602</v>
      </c>
      <c r="JL320" s="5">
        <v>0.56494371456955605</v>
      </c>
      <c r="JM320" s="5">
        <v>-0.19299658373258999</v>
      </c>
      <c r="JN320" s="5">
        <v>0.54260133337720995</v>
      </c>
      <c r="JO320" s="5">
        <v>-0.35039821642960101</v>
      </c>
      <c r="JP320" s="5">
        <v>0.66984049721448702</v>
      </c>
      <c r="JQ320" s="5">
        <v>-0.39480364747126301</v>
      </c>
      <c r="JR320" s="5">
        <v>0.40586555297736898</v>
      </c>
      <c r="JS320" s="5">
        <v>-8.6014621890451601E-2</v>
      </c>
      <c r="JT320" s="5">
        <v>0.282239182814851</v>
      </c>
      <c r="JU320" s="5">
        <v>-7.5310002700704898E-2</v>
      </c>
      <c r="JV320" s="5">
        <v>0.52417741430078901</v>
      </c>
      <c r="JW320" s="5">
        <v>-0.222560830953141</v>
      </c>
      <c r="JX320" s="5">
        <v>-4.0958731828195802E-2</v>
      </c>
      <c r="JY320" s="5">
        <v>7.0736185160834394E-2</v>
      </c>
      <c r="JZ320" s="5">
        <v>0.364076318741132</v>
      </c>
      <c r="KA320" s="5">
        <v>-0.18011453875616701</v>
      </c>
      <c r="KB320" s="5">
        <v>-0.168021601380413</v>
      </c>
      <c r="KC320" s="5">
        <v>0.16320464963159201</v>
      </c>
      <c r="KD320" s="5">
        <v>0.44570010007942701</v>
      </c>
      <c r="KE320" s="5">
        <v>-0.14746115263583801</v>
      </c>
      <c r="KF320" s="5">
        <v>0.42814150145464402</v>
      </c>
      <c r="KG320" s="5">
        <v>-0.151489192331144</v>
      </c>
      <c r="KH320" s="5">
        <v>0.39544379087727499</v>
      </c>
      <c r="KI320" s="5">
        <v>7.8511122514560203E-2</v>
      </c>
      <c r="KJ320" s="5">
        <v>0.58056591758723197</v>
      </c>
      <c r="KK320" s="5">
        <v>-0.20761776867947401</v>
      </c>
      <c r="KL320" s="5">
        <v>0.293490946923189</v>
      </c>
      <c r="KM320" s="5">
        <v>-9.7557126995046206E-2</v>
      </c>
      <c r="KN320" s="5">
        <v>7.1059005964431904E-2</v>
      </c>
      <c r="KO320" s="5">
        <v>2.5007314755893999E-2</v>
      </c>
      <c r="KP320" s="5">
        <v>-0.48495607244988698</v>
      </c>
      <c r="KQ320" s="5">
        <v>0.37449179291187101</v>
      </c>
      <c r="KR320" s="5">
        <v>0.64383549828416198</v>
      </c>
      <c r="KS320" s="5">
        <v>-0.41278665521659402</v>
      </c>
      <c r="KT320" s="5">
        <v>0.61976832244462698</v>
      </c>
      <c r="KU320" s="5">
        <v>-0.26698981135177202</v>
      </c>
      <c r="KV320" s="5">
        <v>0.53492169211475704</v>
      </c>
      <c r="KW320" s="5">
        <v>-0.23721937877836699</v>
      </c>
      <c r="KX320" s="5">
        <v>0.56697944837851</v>
      </c>
      <c r="KY320" s="5">
        <v>-0.27545278752965202</v>
      </c>
      <c r="KZ320" s="5">
        <v>0.38788258825588601</v>
      </c>
      <c r="LA320" s="5">
        <v>-0.19943945316658199</v>
      </c>
      <c r="LB320" s="5">
        <v>0.71723055345473996</v>
      </c>
      <c r="LC320" s="5">
        <v>-0.483430274254321</v>
      </c>
      <c r="LD320" s="5">
        <v>0.62983200764870495</v>
      </c>
      <c r="LE320" s="5">
        <v>-0.40270856086701601</v>
      </c>
      <c r="LF320" s="5">
        <v>0.13871844252510099</v>
      </c>
      <c r="LG320" s="5">
        <v>7.0017681979669302E-2</v>
      </c>
      <c r="LH320" s="5">
        <v>1</v>
      </c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</row>
    <row r="321" spans="1:389" x14ac:dyDescent="0.45">
      <c r="A321" s="4" t="str">
        <f ca="1">"SOM / beta2dist in "&amp;CELL("address",'damages-1990'!$K$161)</f>
        <v>SOM / beta2dist in '[BHM betas v3pd.xlsx]damages-1990'!$K$161</v>
      </c>
      <c r="B321" s="6">
        <v>-0.123417753442262</v>
      </c>
      <c r="C321" s="5">
        <v>0.18527384566220401</v>
      </c>
      <c r="D321" s="5">
        <v>-0.341369525985174</v>
      </c>
      <c r="E321" s="5">
        <v>0.61716338629957201</v>
      </c>
      <c r="F321" s="5">
        <v>-2.6296192984351801E-2</v>
      </c>
      <c r="G321" s="5">
        <v>-9.0107975878205501E-3</v>
      </c>
      <c r="H321" s="5">
        <v>0.22305115745354701</v>
      </c>
      <c r="I321" s="5">
        <v>-0.31426656584019003</v>
      </c>
      <c r="J321" s="5">
        <v>-0.29786370157368403</v>
      </c>
      <c r="K321" s="5">
        <v>0.440817531407315</v>
      </c>
      <c r="L321" s="5">
        <v>-0.124630349635602</v>
      </c>
      <c r="M321" s="5">
        <v>0.17236302279899199</v>
      </c>
      <c r="N321" s="5">
        <v>-5.6770061757002298E-2</v>
      </c>
      <c r="O321" s="5">
        <v>8.2132092216075495E-2</v>
      </c>
      <c r="P321" s="5">
        <v>-0.335331603500718</v>
      </c>
      <c r="Q321" s="5">
        <v>0.47932039005629701</v>
      </c>
      <c r="R321" s="5">
        <v>-0.179451301127493</v>
      </c>
      <c r="S321" s="5">
        <v>0.36848299848900501</v>
      </c>
      <c r="T321" s="5">
        <v>-0.107593559658758</v>
      </c>
      <c r="U321" s="5">
        <v>0.124407567427109</v>
      </c>
      <c r="V321" s="5">
        <v>-2.7569552936929399E-2</v>
      </c>
      <c r="W321" s="5">
        <v>-2.15754006948756E-2</v>
      </c>
      <c r="X321" s="5">
        <v>-0.35850324409544299</v>
      </c>
      <c r="Y321" s="5">
        <v>0.57086054806390396</v>
      </c>
      <c r="Z321" s="5">
        <v>3.5698804480561001E-2</v>
      </c>
      <c r="AA321" s="5">
        <v>-5.0694979999638998E-2</v>
      </c>
      <c r="AB321" s="5">
        <v>-0.24110925578520201</v>
      </c>
      <c r="AC321" s="5">
        <v>0.53464588172495398</v>
      </c>
      <c r="AD321" s="5">
        <v>-0.260043141993615</v>
      </c>
      <c r="AE321" s="5">
        <v>0.52198492047695899</v>
      </c>
      <c r="AF321" s="5">
        <v>-0.25943211175632103</v>
      </c>
      <c r="AG321" s="5">
        <v>0.440224117444174</v>
      </c>
      <c r="AH321" s="5">
        <v>-3.91807763152471E-2</v>
      </c>
      <c r="AI321" s="5">
        <v>2.5487220868298001E-2</v>
      </c>
      <c r="AJ321" s="5">
        <v>-0.36563161502485397</v>
      </c>
      <c r="AK321" s="5">
        <v>0.44132511650075101</v>
      </c>
      <c r="AL321" s="5">
        <v>6.18713824745281E-2</v>
      </c>
      <c r="AM321" s="5">
        <v>-3.1852219729920001E-2</v>
      </c>
      <c r="AN321" s="5">
        <v>-0.15297986076984499</v>
      </c>
      <c r="AO321" s="5">
        <v>0.185479353051857</v>
      </c>
      <c r="AP321" s="5">
        <v>-0.12753747710417901</v>
      </c>
      <c r="AQ321" s="5">
        <v>0.18893942500112801</v>
      </c>
      <c r="AR321" s="5">
        <v>-0.29302343611242099</v>
      </c>
      <c r="AS321" s="5">
        <v>0.46462950491314697</v>
      </c>
      <c r="AT321" s="5">
        <v>0.12246727127044001</v>
      </c>
      <c r="AU321" s="5">
        <v>-0.145418382521945</v>
      </c>
      <c r="AV321" s="5">
        <v>-0.16590597180422001</v>
      </c>
      <c r="AW321" s="5">
        <v>0.37202652195713098</v>
      </c>
      <c r="AX321" s="5">
        <v>-0.31467212365043601</v>
      </c>
      <c r="AY321" s="5">
        <v>0.59338189081692205</v>
      </c>
      <c r="AZ321" s="5">
        <v>-0.46613061795646399</v>
      </c>
      <c r="BA321" s="5">
        <v>0.60470870153453105</v>
      </c>
      <c r="BB321" s="5">
        <v>-0.18206251072194399</v>
      </c>
      <c r="BC321" s="5">
        <v>0.44211711328460701</v>
      </c>
      <c r="BD321" s="5">
        <v>-3.7969142377674903E-2</v>
      </c>
      <c r="BE321" s="5">
        <v>3.7733076665027301E-2</v>
      </c>
      <c r="BF321" s="5">
        <v>-0.25565833410609601</v>
      </c>
      <c r="BG321" s="5">
        <v>0.41428661673422201</v>
      </c>
      <c r="BH321" s="5">
        <v>-0.37027031248202302</v>
      </c>
      <c r="BI321" s="5">
        <v>0.68396459666558695</v>
      </c>
      <c r="BJ321" s="5">
        <v>-2.9823156601857501E-2</v>
      </c>
      <c r="BK321" s="5">
        <v>-6.3329710994184704E-2</v>
      </c>
      <c r="BL321" s="5">
        <v>-7.8537359276813407E-2</v>
      </c>
      <c r="BM321" s="5">
        <v>7.3786639690982495E-2</v>
      </c>
      <c r="BN321" s="5">
        <v>0.128441771398565</v>
      </c>
      <c r="BO321" s="5">
        <v>-0.263995487669895</v>
      </c>
      <c r="BP321" s="5">
        <v>0.17353888522401101</v>
      </c>
      <c r="BQ321" s="5">
        <v>-0.36794621284786699</v>
      </c>
      <c r="BR321" s="5">
        <v>-0.317994927228688</v>
      </c>
      <c r="BS321" s="5">
        <v>0.62716393192824504</v>
      </c>
      <c r="BT321" s="5">
        <v>-0.28179379454666897</v>
      </c>
      <c r="BU321" s="5">
        <v>0.61319356019147198</v>
      </c>
      <c r="BV321" s="5">
        <v>-0.32301322244365999</v>
      </c>
      <c r="BW321" s="5">
        <v>0.62799837856239304</v>
      </c>
      <c r="BX321" s="5">
        <v>-0.24716065688417599</v>
      </c>
      <c r="BY321" s="5">
        <v>0.57493211511365505</v>
      </c>
      <c r="BZ321" s="5">
        <v>-0.33829728407104298</v>
      </c>
      <c r="CA321" s="5">
        <v>0.61288240316056697</v>
      </c>
      <c r="CB321" s="5">
        <v>-0.140880973962698</v>
      </c>
      <c r="CC321" s="5">
        <v>0.28959340969591502</v>
      </c>
      <c r="CD321" s="5">
        <v>-0.16832290807524899</v>
      </c>
      <c r="CE321" s="5">
        <v>0.23063758742031701</v>
      </c>
      <c r="CF321" s="5">
        <v>-0.509486109693289</v>
      </c>
      <c r="CG321" s="5">
        <v>0.66542029511418299</v>
      </c>
      <c r="CH321" s="5">
        <v>6.26181056144621E-2</v>
      </c>
      <c r="CI321" s="5">
        <v>1.18352307517741E-2</v>
      </c>
      <c r="CJ321" s="5">
        <v>-4.02745931603362E-2</v>
      </c>
      <c r="CK321" s="5">
        <v>-3.79939365371137E-2</v>
      </c>
      <c r="CL321" s="5">
        <v>-5.7806254551047299E-2</v>
      </c>
      <c r="CM321" s="5">
        <v>7.7872342768793706E-2</v>
      </c>
      <c r="CN321" s="5">
        <v>-4.87957627404992E-3</v>
      </c>
      <c r="CO321" s="5">
        <v>6.7739492112924397E-3</v>
      </c>
      <c r="CP321" s="5">
        <v>-0.60831071335040998</v>
      </c>
      <c r="CQ321" s="5">
        <v>0.743103039530425</v>
      </c>
      <c r="CR321" s="5">
        <v>-0.35129690656199603</v>
      </c>
      <c r="CS321" s="5">
        <v>0.50495269609604898</v>
      </c>
      <c r="CT321" s="5">
        <v>-4.8939973485163601E-2</v>
      </c>
      <c r="CU321" s="5">
        <v>9.5195863841827197E-2</v>
      </c>
      <c r="CV321" s="5">
        <v>-0.12562160263279601</v>
      </c>
      <c r="CW321" s="5">
        <v>0.29985495832678</v>
      </c>
      <c r="CX321" s="5">
        <v>-0.18331532290264599</v>
      </c>
      <c r="CY321" s="5">
        <v>0.32534057070751299</v>
      </c>
      <c r="CZ321" s="5">
        <v>-0.32324955459084198</v>
      </c>
      <c r="DA321" s="5">
        <v>0.52761779697942901</v>
      </c>
      <c r="DB321" s="5">
        <v>-2.9499143485420098E-2</v>
      </c>
      <c r="DC321" s="5">
        <v>-1.25427940831203E-2</v>
      </c>
      <c r="DD321" s="5">
        <v>-0.42599661890074603</v>
      </c>
      <c r="DE321" s="5">
        <v>0.591461103906055</v>
      </c>
      <c r="DF321" s="5">
        <v>-0.36710165446398502</v>
      </c>
      <c r="DG321" s="5">
        <v>0.51645528534117002</v>
      </c>
      <c r="DH321" s="5">
        <v>-0.22009667015794299</v>
      </c>
      <c r="DI321" s="5">
        <v>0.29818808733727697</v>
      </c>
      <c r="DJ321" s="5">
        <v>-8.9307803967680802E-2</v>
      </c>
      <c r="DK321" s="5">
        <v>0.148284722233467</v>
      </c>
      <c r="DL321" s="5">
        <v>-0.50451866452564498</v>
      </c>
      <c r="DM321" s="5">
        <v>0.73841033295969005</v>
      </c>
      <c r="DN321" s="5">
        <v>-1.2785947129751901E-2</v>
      </c>
      <c r="DO321" s="5">
        <v>6.3197568016272604E-2</v>
      </c>
      <c r="DP321" s="5">
        <v>0.192050600811695</v>
      </c>
      <c r="DQ321" s="5">
        <v>-0.14977915902043301</v>
      </c>
      <c r="DR321" s="5">
        <v>-1.3919906189175E-2</v>
      </c>
      <c r="DS321" s="5">
        <v>5.1498662491329204E-3</v>
      </c>
      <c r="DT321" s="5">
        <v>-0.46505041980300799</v>
      </c>
      <c r="DU321" s="5">
        <v>0.54317710470085601</v>
      </c>
      <c r="DV321" s="5">
        <v>-9.3197294302931E-2</v>
      </c>
      <c r="DW321" s="5">
        <v>0.34860106993214401</v>
      </c>
      <c r="DX321" s="5">
        <v>0.187203458802985</v>
      </c>
      <c r="DY321" s="5">
        <v>-0.212509701203387</v>
      </c>
      <c r="DZ321" s="5">
        <v>-0.101379072860869</v>
      </c>
      <c r="EA321" s="5">
        <v>0.16297117093838701</v>
      </c>
      <c r="EB321" s="5">
        <v>-0.35587261638543499</v>
      </c>
      <c r="EC321" s="5">
        <v>0.62027050795483396</v>
      </c>
      <c r="ED321" s="5">
        <v>-0.34996416204224201</v>
      </c>
      <c r="EE321" s="5">
        <v>0.64186308240837997</v>
      </c>
      <c r="EF321" s="5">
        <v>-0.37377605073551001</v>
      </c>
      <c r="EG321" s="5">
        <v>0.507755514426528</v>
      </c>
      <c r="EH321" s="5">
        <v>-0.37999006094461002</v>
      </c>
      <c r="EI321" s="5">
        <v>0.60503798257952301</v>
      </c>
      <c r="EJ321" s="5">
        <v>-0.37598423387285901</v>
      </c>
      <c r="EK321" s="5">
        <v>0.612253665690903</v>
      </c>
      <c r="EL321" s="5">
        <v>-0.31198638202420198</v>
      </c>
      <c r="EM321" s="5">
        <v>0.59697320627890305</v>
      </c>
      <c r="EN321" s="5">
        <v>0.12763832708186901</v>
      </c>
      <c r="EO321" s="5">
        <v>-0.21554646691141199</v>
      </c>
      <c r="EP321" s="5">
        <v>-0.38267633307242999</v>
      </c>
      <c r="EQ321" s="5">
        <v>0.516549181427296</v>
      </c>
      <c r="ER321" s="5">
        <v>-0.32168976714104602</v>
      </c>
      <c r="ES321" s="5">
        <v>0.53239046246115695</v>
      </c>
      <c r="ET321" s="5">
        <v>-0.31555735999384499</v>
      </c>
      <c r="EU321" s="5">
        <v>0.56039095719548304</v>
      </c>
      <c r="EV321" s="5">
        <v>-0.45204045299365497</v>
      </c>
      <c r="EW321" s="5">
        <v>0.660168619356582</v>
      </c>
      <c r="EX321" s="5">
        <v>-0.192156164397534</v>
      </c>
      <c r="EY321" s="5">
        <v>0.38860229298649202</v>
      </c>
      <c r="EZ321" s="5">
        <v>-0.334173576916653</v>
      </c>
      <c r="FA321" s="5">
        <v>0.55506644765550694</v>
      </c>
      <c r="FB321" s="5">
        <v>-0.10700223007187799</v>
      </c>
      <c r="FC321" s="5">
        <v>0.13166943107307499</v>
      </c>
      <c r="FD321" s="5">
        <v>-0.106072807670733</v>
      </c>
      <c r="FE321" s="5">
        <v>0.28558727447924998</v>
      </c>
      <c r="FF321" s="5">
        <v>-8.5581561368030107E-2</v>
      </c>
      <c r="FG321" s="5">
        <v>0.105935966522653</v>
      </c>
      <c r="FH321" s="5">
        <v>3.5523416907407103E-2</v>
      </c>
      <c r="FI321" s="5">
        <v>0.14757244359296801</v>
      </c>
      <c r="FJ321" s="5">
        <v>-0.231241617920392</v>
      </c>
      <c r="FK321" s="5">
        <v>0.37894255954302902</v>
      </c>
      <c r="FL321" s="5">
        <v>0.274451308459909</v>
      </c>
      <c r="FM321" s="5">
        <v>-0.31420543310833399</v>
      </c>
      <c r="FN321" s="5">
        <v>-0.245438642694744</v>
      </c>
      <c r="FO321" s="5">
        <v>0.31127104181966903</v>
      </c>
      <c r="FP321" s="5">
        <v>-0.19313925650171099</v>
      </c>
      <c r="FQ321" s="5">
        <v>0.18954038772836901</v>
      </c>
      <c r="FR321" s="5">
        <v>0.39775175086498799</v>
      </c>
      <c r="FS321" s="5">
        <v>-0.36364855808839702</v>
      </c>
      <c r="FT321" s="5">
        <v>-0.14499559274732399</v>
      </c>
      <c r="FU321" s="5">
        <v>0.10893672131512</v>
      </c>
      <c r="FV321" s="5">
        <v>-7.2888203187694497E-2</v>
      </c>
      <c r="FW321" s="5">
        <v>0.108184329749285</v>
      </c>
      <c r="FX321" s="5">
        <v>-0.25891597436750902</v>
      </c>
      <c r="FY321" s="5">
        <v>0.41631863206952402</v>
      </c>
      <c r="FZ321" s="5">
        <v>-0.147445781820883</v>
      </c>
      <c r="GA321" s="5">
        <v>0.13771602684318299</v>
      </c>
      <c r="GB321" s="5">
        <v>-5.9485911997753098E-2</v>
      </c>
      <c r="GC321" s="5">
        <v>6.9017079310235402E-2</v>
      </c>
      <c r="GD321" s="5">
        <v>5.9395075987467301E-2</v>
      </c>
      <c r="GE321" s="5">
        <v>-4.03632359547694E-2</v>
      </c>
      <c r="GF321" s="5">
        <v>-0.39620585946815701</v>
      </c>
      <c r="GG321" s="5">
        <v>0.68839019682089198</v>
      </c>
      <c r="GH321" s="5">
        <v>0.39684608896083801</v>
      </c>
      <c r="GI321" s="5">
        <v>-0.53608584708739704</v>
      </c>
      <c r="GJ321" s="5">
        <v>-0.208165567391847</v>
      </c>
      <c r="GK321" s="5">
        <v>0.39634788354936501</v>
      </c>
      <c r="GL321" s="5">
        <v>-0.32941343366812498</v>
      </c>
      <c r="GM321" s="5">
        <v>0.44724995475054802</v>
      </c>
      <c r="GN321" s="5">
        <v>-2.6696369754676201E-2</v>
      </c>
      <c r="GO321" s="5">
        <v>3.1746028781887002E-2</v>
      </c>
      <c r="GP321" s="5">
        <v>-0.29920040414742399</v>
      </c>
      <c r="GQ321" s="5">
        <v>0.34403715046019201</v>
      </c>
      <c r="GR321" s="5">
        <v>-0.19095510344761399</v>
      </c>
      <c r="GS321" s="5">
        <v>0.41385143380130002</v>
      </c>
      <c r="GT321" s="5">
        <v>-0.119114284038044</v>
      </c>
      <c r="GU321" s="5">
        <v>7.1087353808225603E-2</v>
      </c>
      <c r="GV321" s="5">
        <v>-0.13558699794118101</v>
      </c>
      <c r="GW321" s="5">
        <v>0.46021848315062303</v>
      </c>
      <c r="GX321" s="5">
        <v>1.8457421487742001E-2</v>
      </c>
      <c r="GY321" s="5">
        <v>1.24709288289998E-2</v>
      </c>
      <c r="GZ321" s="5">
        <v>-9.9139250831246903E-2</v>
      </c>
      <c r="HA321" s="5">
        <v>9.9785974902160096E-2</v>
      </c>
      <c r="HB321" s="5">
        <v>-0.176492081938802</v>
      </c>
      <c r="HC321" s="5">
        <v>0.46028064456010198</v>
      </c>
      <c r="HD321" s="5">
        <v>-0.12894430144553401</v>
      </c>
      <c r="HE321" s="5">
        <v>0.21086050007656301</v>
      </c>
      <c r="HF321" s="5">
        <v>-6.8440903271846001E-2</v>
      </c>
      <c r="HG321" s="5">
        <v>0.117062196968494</v>
      </c>
      <c r="HH321" s="5">
        <v>3.6424914974693599E-2</v>
      </c>
      <c r="HI321" s="5">
        <v>-5.8285279529588098E-2</v>
      </c>
      <c r="HJ321" s="5">
        <v>-8.2826779248384594E-2</v>
      </c>
      <c r="HK321" s="5">
        <v>0.13754301544745601</v>
      </c>
      <c r="HL321" s="5">
        <v>-0.37496920566427699</v>
      </c>
      <c r="HM321" s="5">
        <v>0.54993889638285498</v>
      </c>
      <c r="HN321" s="5">
        <v>-9.0011566293604406E-2</v>
      </c>
      <c r="HO321" s="5">
        <v>0.11721627144168199</v>
      </c>
      <c r="HP321" s="5">
        <v>4.7548893602074802E-2</v>
      </c>
      <c r="HQ321" s="5">
        <v>0.15577380895227899</v>
      </c>
      <c r="HR321" s="5">
        <v>-0.21805163252757501</v>
      </c>
      <c r="HS321" s="5">
        <v>0.43128715004377699</v>
      </c>
      <c r="HT321" s="5">
        <v>-6.5615415481907302E-2</v>
      </c>
      <c r="HU321" s="5">
        <v>6.3584564579829903E-2</v>
      </c>
      <c r="HV321" s="5">
        <v>-0.153407078050465</v>
      </c>
      <c r="HW321" s="5">
        <v>0.37465089292361903</v>
      </c>
      <c r="HX321" s="5">
        <v>-0.12271391288069899</v>
      </c>
      <c r="HY321" s="5">
        <v>0.401462041297793</v>
      </c>
      <c r="HZ321" s="5">
        <v>-0.12511346917272501</v>
      </c>
      <c r="IA321" s="5">
        <v>0.15723071874269001</v>
      </c>
      <c r="IB321" s="5">
        <v>0.33003159082516798</v>
      </c>
      <c r="IC321" s="5">
        <v>-0.39032322083399301</v>
      </c>
      <c r="ID321" s="5">
        <v>-0.115451229013228</v>
      </c>
      <c r="IE321" s="5">
        <v>0.30842324108754599</v>
      </c>
      <c r="IF321" s="5">
        <v>-0.18654643268913801</v>
      </c>
      <c r="IG321" s="5">
        <v>0.40230641942662498</v>
      </c>
      <c r="IH321" s="5">
        <v>-0.40621169535324803</v>
      </c>
      <c r="II321" s="5">
        <v>0.56227763401014597</v>
      </c>
      <c r="IJ321" s="5">
        <v>-5.76519097467919E-2</v>
      </c>
      <c r="IK321" s="5">
        <v>0.12993776740027399</v>
      </c>
      <c r="IL321" s="5">
        <v>-0.138712064976584</v>
      </c>
      <c r="IM321" s="5">
        <v>0.31702585942669798</v>
      </c>
      <c r="IN321" s="5">
        <v>-0.195651368430554</v>
      </c>
      <c r="IO321" s="5">
        <v>0.48513467317451803</v>
      </c>
      <c r="IP321" s="5">
        <v>-0.315777158540055</v>
      </c>
      <c r="IQ321" s="5">
        <v>0.52005848761557205</v>
      </c>
      <c r="IR321" s="5">
        <v>3.1255531408294901E-2</v>
      </c>
      <c r="IS321" s="5">
        <v>-1.61139811222966E-3</v>
      </c>
      <c r="IT321" s="5">
        <v>-6.4205009919875294E-2</v>
      </c>
      <c r="IU321" s="5">
        <v>0.23355652345717001</v>
      </c>
      <c r="IV321" s="5">
        <v>-0.15997274029094799</v>
      </c>
      <c r="IW321" s="5">
        <v>0.41813991808517198</v>
      </c>
      <c r="IX321" s="5">
        <v>-0.376999840070467</v>
      </c>
      <c r="IY321" s="5">
        <v>0.59781820506743399</v>
      </c>
      <c r="IZ321" s="5">
        <v>8.5414925350490896E-3</v>
      </c>
      <c r="JA321" s="5">
        <v>-1.0639368174195999E-2</v>
      </c>
      <c r="JB321" s="5">
        <v>-3.6097315730085199E-2</v>
      </c>
      <c r="JC321" s="5">
        <v>0.10005197773562199</v>
      </c>
      <c r="JD321" s="5">
        <v>-0.120283199869157</v>
      </c>
      <c r="JE321" s="5">
        <v>0.21158133269734999</v>
      </c>
      <c r="JF321" s="5">
        <v>-0.17507210981260499</v>
      </c>
      <c r="JG321" s="5">
        <v>0.311821683796973</v>
      </c>
      <c r="JH321" s="5">
        <v>-0.19462259364743301</v>
      </c>
      <c r="JI321" s="5">
        <v>0.26900780368978799</v>
      </c>
      <c r="JJ321" s="5">
        <v>-0.43028725504884902</v>
      </c>
      <c r="JK321" s="5">
        <v>0.64189458073670602</v>
      </c>
      <c r="JL321" s="5">
        <v>-0.36271569452407898</v>
      </c>
      <c r="JM321" s="5">
        <v>0.48894546508862002</v>
      </c>
      <c r="JN321" s="5">
        <v>-0.31249682284870101</v>
      </c>
      <c r="JO321" s="5">
        <v>0.503185470070172</v>
      </c>
      <c r="JP321" s="5">
        <v>-0.32457672638212498</v>
      </c>
      <c r="JQ321" s="5">
        <v>0.61217158425340001</v>
      </c>
      <c r="JR321" s="5">
        <v>4.1787407613413902E-2</v>
      </c>
      <c r="JS321" s="5">
        <v>0.13705396826282701</v>
      </c>
      <c r="JT321" s="5">
        <v>3.90382998988082E-2</v>
      </c>
      <c r="JU321" s="5">
        <v>6.9900836225472093E-2</v>
      </c>
      <c r="JV321" s="5">
        <v>-5.3067727499629402E-2</v>
      </c>
      <c r="JW321" s="5">
        <v>0.23197366459379901</v>
      </c>
      <c r="JX321" s="5">
        <v>-6.3461130325943998E-2</v>
      </c>
      <c r="JY321" s="5">
        <v>8.5942317786094694E-2</v>
      </c>
      <c r="JZ321" s="5">
        <v>-0.35285025431744199</v>
      </c>
      <c r="KA321" s="5">
        <v>0.46611081311975899</v>
      </c>
      <c r="KB321" s="5">
        <v>-2.6627612226310399E-2</v>
      </c>
      <c r="KC321" s="5">
        <v>3.2046941230717302E-2</v>
      </c>
      <c r="KD321" s="5">
        <v>-0.29376333104532898</v>
      </c>
      <c r="KE321" s="5">
        <v>0.334762194197742</v>
      </c>
      <c r="KF321" s="5">
        <v>-3.0689588676712599E-2</v>
      </c>
      <c r="KG321" s="5">
        <v>6.3087161917032605E-2</v>
      </c>
      <c r="KH321" s="5">
        <v>-0.13590647692381999</v>
      </c>
      <c r="KI321" s="5">
        <v>8.6457990772566898E-2</v>
      </c>
      <c r="KJ321" s="5">
        <v>-0.33527158235738203</v>
      </c>
      <c r="KK321" s="5">
        <v>0.43104978767104901</v>
      </c>
      <c r="KL321" s="5">
        <v>6.3699581413342699E-2</v>
      </c>
      <c r="KM321" s="5">
        <v>-1.01318765302492E-2</v>
      </c>
      <c r="KN321" s="5">
        <v>-0.102224055013697</v>
      </c>
      <c r="KO321" s="5">
        <v>0.13661208503929001</v>
      </c>
      <c r="KP321" s="5">
        <v>0.25765921288995502</v>
      </c>
      <c r="KQ321" s="5">
        <v>-0.25902736358286499</v>
      </c>
      <c r="KR321" s="5">
        <v>-0.38219272949412297</v>
      </c>
      <c r="KS321" s="5">
        <v>0.64265249793844303</v>
      </c>
      <c r="KT321" s="5">
        <v>-0.36104144603321098</v>
      </c>
      <c r="KU321" s="5">
        <v>0.53150101476912004</v>
      </c>
      <c r="KV321" s="5">
        <v>-0.28928960310094198</v>
      </c>
      <c r="KW321" s="5">
        <v>0.50008712324117</v>
      </c>
      <c r="KX321" s="5">
        <v>-0.31071175621401198</v>
      </c>
      <c r="KY321" s="5">
        <v>0.53937045862145605</v>
      </c>
      <c r="KZ321" s="5">
        <v>-0.12855019782522301</v>
      </c>
      <c r="LA321" s="5">
        <v>0.24577355562519601</v>
      </c>
      <c r="LB321" s="5">
        <v>-0.40071117166707299</v>
      </c>
      <c r="LC321" s="5">
        <v>0.67184813370944296</v>
      </c>
      <c r="LD321" s="5">
        <v>-0.31492979561957002</v>
      </c>
      <c r="LE321" s="5">
        <v>0.52366366899280403</v>
      </c>
      <c r="LF321" s="5">
        <v>-8.8926266502054693E-2</v>
      </c>
      <c r="LG321" s="5">
        <v>0.12380721163929399</v>
      </c>
      <c r="LH321" s="5">
        <v>-0.73465427009733797</v>
      </c>
      <c r="LI321" s="5">
        <v>1</v>
      </c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</row>
    <row r="322" spans="1:389" x14ac:dyDescent="0.45">
      <c r="A322" s="4" t="str">
        <f ca="1">"SRB / beta1dist in "&amp;CELL("address",'damages-1990'!$J$162)</f>
        <v>SRB / beta1dist in '[BHM betas v3pd.xlsx]damages-1990'!$J$162</v>
      </c>
      <c r="B322" s="6">
        <v>0.49126735244849101</v>
      </c>
      <c r="C322" s="5">
        <v>-0.17344889065454799</v>
      </c>
      <c r="D322" s="5">
        <v>0.22786581438688799</v>
      </c>
      <c r="E322" s="5">
        <v>-0.179741293493548</v>
      </c>
      <c r="F322" s="5">
        <v>0.85284302341447105</v>
      </c>
      <c r="G322" s="5">
        <v>-0.68710105875767402</v>
      </c>
      <c r="H322" s="5">
        <v>0.457827222856521</v>
      </c>
      <c r="I322" s="5">
        <v>-0.25351143366595003</v>
      </c>
      <c r="J322" s="5">
        <v>8.5343826729848804E-2</v>
      </c>
      <c r="K322" s="5">
        <v>-9.1536806715572197E-2</v>
      </c>
      <c r="L322" s="5">
        <v>0.39250202020608399</v>
      </c>
      <c r="M322" s="5">
        <v>-0.14369830724545299</v>
      </c>
      <c r="N322" s="5">
        <v>0.56061818884331405</v>
      </c>
      <c r="O322" s="5">
        <v>-0.28120596690417998</v>
      </c>
      <c r="P322" s="5">
        <v>0.104558938279633</v>
      </c>
      <c r="Q322" s="5">
        <v>-8.9779574242393106E-2</v>
      </c>
      <c r="R322" s="5">
        <v>0.16200062816956701</v>
      </c>
      <c r="S322" s="5">
        <v>-8.7403828860070004E-2</v>
      </c>
      <c r="T322" s="5">
        <v>0.65810221207352504</v>
      </c>
      <c r="U322" s="5">
        <v>-0.48829591911680797</v>
      </c>
      <c r="V322" s="5">
        <v>0.56015477841925099</v>
      </c>
      <c r="W322" s="5">
        <v>-0.29082045757418701</v>
      </c>
      <c r="X322" s="5">
        <v>0.25087407461417999</v>
      </c>
      <c r="Y322" s="5">
        <v>-0.16424079934066901</v>
      </c>
      <c r="Z322" s="5">
        <v>0.68113311549439604</v>
      </c>
      <c r="AA322" s="5">
        <v>-0.46870671204765202</v>
      </c>
      <c r="AB322" s="5">
        <v>0.10080851854923201</v>
      </c>
      <c r="AC322" s="5">
        <v>-5.8719395960842198E-2</v>
      </c>
      <c r="AD322" s="5">
        <v>0.14344343244531901</v>
      </c>
      <c r="AE322" s="5">
        <v>-7.4318464155205294E-2</v>
      </c>
      <c r="AF322" s="5">
        <v>-1.2805772879581701E-2</v>
      </c>
      <c r="AG322" s="5">
        <v>3.0340634151812099E-2</v>
      </c>
      <c r="AH322" s="5">
        <v>0.87103133768223995</v>
      </c>
      <c r="AI322" s="5">
        <v>-0.69951259904972296</v>
      </c>
      <c r="AJ322" s="5">
        <v>4.7977218349123003E-2</v>
      </c>
      <c r="AK322" s="5">
        <v>-5.6659979150725598E-2</v>
      </c>
      <c r="AL322" s="5">
        <v>1.4160676369196599E-2</v>
      </c>
      <c r="AM322" s="5">
        <v>7.7118769425190796E-3</v>
      </c>
      <c r="AN322" s="5">
        <v>0.854502646030047</v>
      </c>
      <c r="AO322" s="5">
        <v>-0.67192962245858701</v>
      </c>
      <c r="AP322" s="5">
        <v>0.54075017552452398</v>
      </c>
      <c r="AQ322" s="5">
        <v>-0.337360559926489</v>
      </c>
      <c r="AR322" s="5">
        <v>5.9446393023548198E-2</v>
      </c>
      <c r="AS322" s="5">
        <v>-3.38384852143205E-2</v>
      </c>
      <c r="AT322" s="5">
        <v>-1.1043694709337099E-2</v>
      </c>
      <c r="AU322" s="5">
        <v>6.0143984189462797E-2</v>
      </c>
      <c r="AV322" s="5">
        <v>8.8736505071793897E-2</v>
      </c>
      <c r="AW322" s="5">
        <v>-2.8920801372588598E-2</v>
      </c>
      <c r="AX322" s="5">
        <v>6.7048089439971106E-2</v>
      </c>
      <c r="AY322" s="5">
        <v>-0.10687481816564399</v>
      </c>
      <c r="AZ322" s="5">
        <v>0.10169977095067</v>
      </c>
      <c r="BA322" s="5">
        <v>-7.6890819525307602E-2</v>
      </c>
      <c r="BB322" s="5">
        <v>0.145690130403615</v>
      </c>
      <c r="BC322" s="5">
        <v>-0.13816965481744001</v>
      </c>
      <c r="BD322" s="5">
        <v>0.646091987544399</v>
      </c>
      <c r="BE322" s="5">
        <v>-0.31439652507885502</v>
      </c>
      <c r="BF322" s="5">
        <v>0.155072154457332</v>
      </c>
      <c r="BG322" s="5">
        <v>-0.12060528437868399</v>
      </c>
      <c r="BH322" s="5">
        <v>0.144579270797522</v>
      </c>
      <c r="BI322" s="5">
        <v>-9.3990324886926602E-2</v>
      </c>
      <c r="BJ322" s="5">
        <v>0.36806115538644202</v>
      </c>
      <c r="BK322" s="5">
        <v>-0.104037248250681</v>
      </c>
      <c r="BL322" s="5">
        <v>0.60679113252997596</v>
      </c>
      <c r="BM322" s="5">
        <v>-0.43708766174271801</v>
      </c>
      <c r="BN322" s="5">
        <v>0.46060535238074501</v>
      </c>
      <c r="BO322" s="5">
        <v>-8.0202463654212103E-2</v>
      </c>
      <c r="BP322" s="5">
        <v>0.57071544368822302</v>
      </c>
      <c r="BQ322" s="5">
        <v>-0.241507820372626</v>
      </c>
      <c r="BR322" s="5">
        <v>0.19709609079523799</v>
      </c>
      <c r="BS322" s="5">
        <v>-0.12660848908144501</v>
      </c>
      <c r="BT322" s="5">
        <v>0.136419434060501</v>
      </c>
      <c r="BU322" s="5">
        <v>-8.2913890093531298E-2</v>
      </c>
      <c r="BV322" s="5">
        <v>0.18676906876622101</v>
      </c>
      <c r="BW322" s="5">
        <v>-0.16834114928534</v>
      </c>
      <c r="BX322" s="5">
        <v>0.13592213991827601</v>
      </c>
      <c r="BY322" s="5">
        <v>-0.11111002225296</v>
      </c>
      <c r="BZ322" s="5">
        <v>0.118685097984064</v>
      </c>
      <c r="CA322" s="5">
        <v>-0.132334124813305</v>
      </c>
      <c r="CB322" s="5">
        <v>8.2534970736861404E-2</v>
      </c>
      <c r="CC322" s="5">
        <v>-5.9653361005988198E-2</v>
      </c>
      <c r="CD322" s="5">
        <v>0.129830423360904</v>
      </c>
      <c r="CE322" s="5">
        <v>-6.3467625742915298E-2</v>
      </c>
      <c r="CF322" s="5">
        <v>7.3088724990569606E-2</v>
      </c>
      <c r="CG322" s="5">
        <v>-5.0541173849103102E-2</v>
      </c>
      <c r="CH322" s="5">
        <v>7.9332300816048508E-3</v>
      </c>
      <c r="CI322" s="5">
        <v>1.1179758753766301E-2</v>
      </c>
      <c r="CJ322" s="5">
        <v>0.13448039420809399</v>
      </c>
      <c r="CK322" s="5">
        <v>-3.4601615216431E-2</v>
      </c>
      <c r="CL322" s="5">
        <v>0.71639972000046703</v>
      </c>
      <c r="CM322" s="5">
        <v>-0.53474395856907697</v>
      </c>
      <c r="CN322" s="5">
        <v>0.712309621340663</v>
      </c>
      <c r="CO322" s="5">
        <v>-0.517466726437671</v>
      </c>
      <c r="CP322" s="5">
        <v>0.14423853346572901</v>
      </c>
      <c r="CQ322" s="5">
        <v>-9.58086941221927E-2</v>
      </c>
      <c r="CR322" s="5">
        <v>0.13680766285342599</v>
      </c>
      <c r="CS322" s="5">
        <v>-8.2196838492410093E-2</v>
      </c>
      <c r="CT322" s="5">
        <v>0.55325638926958298</v>
      </c>
      <c r="CU322" s="5">
        <v>-0.36987522049232402</v>
      </c>
      <c r="CV322" s="5">
        <v>0.161804983880037</v>
      </c>
      <c r="CW322" s="5">
        <v>-0.124655717134716</v>
      </c>
      <c r="CX322" s="5">
        <v>6.4198800341042195E-2</v>
      </c>
      <c r="CY322" s="5">
        <v>-1.02895598173651E-3</v>
      </c>
      <c r="CZ322" s="5">
        <v>0.159632470469662</v>
      </c>
      <c r="DA322" s="5">
        <v>-0.138038076020918</v>
      </c>
      <c r="DB322" s="5">
        <v>5.0236575077784798E-2</v>
      </c>
      <c r="DC322" s="5">
        <v>8.7867372433841108E-3</v>
      </c>
      <c r="DD322" s="5">
        <v>0.15919080292511401</v>
      </c>
      <c r="DE322" s="5">
        <v>-9.1928531459250298E-2</v>
      </c>
      <c r="DF322" s="5">
        <v>9.6458426435307706E-2</v>
      </c>
      <c r="DG322" s="5">
        <v>-2.8385328891361101E-2</v>
      </c>
      <c r="DH322" s="5">
        <v>0.53840318001441301</v>
      </c>
      <c r="DI322" s="5">
        <v>-0.30091870797981701</v>
      </c>
      <c r="DJ322" s="5">
        <v>0.43724502562747702</v>
      </c>
      <c r="DK322" s="5">
        <v>-0.252453491178244</v>
      </c>
      <c r="DL322" s="5">
        <v>0.255248179595365</v>
      </c>
      <c r="DM322" s="5">
        <v>-0.15043259768521799</v>
      </c>
      <c r="DN322" s="5">
        <v>0.35983241512266201</v>
      </c>
      <c r="DO322" s="5">
        <v>-0.17523705621173499</v>
      </c>
      <c r="DP322" s="5">
        <v>0.10078679031111</v>
      </c>
      <c r="DQ322" s="5">
        <v>-1.54220420398703E-2</v>
      </c>
      <c r="DR322" s="5">
        <v>0.71382492522432095</v>
      </c>
      <c r="DS322" s="5">
        <v>-0.49948790244668501</v>
      </c>
      <c r="DT322" s="5">
        <v>4.8473039572548303E-2</v>
      </c>
      <c r="DU322" s="5">
        <v>-2.50047433493935E-2</v>
      </c>
      <c r="DV322" s="5">
        <v>0.16834791212991199</v>
      </c>
      <c r="DW322" s="5">
        <v>-0.13944095677010099</v>
      </c>
      <c r="DX322" s="5">
        <v>0.50020677140993397</v>
      </c>
      <c r="DY322" s="5">
        <v>-0.24921730872426501</v>
      </c>
      <c r="DZ322" s="5">
        <v>0.60364071013810505</v>
      </c>
      <c r="EA322" s="5">
        <v>-0.32986786109372501</v>
      </c>
      <c r="EB322" s="5">
        <v>0.14044071270349701</v>
      </c>
      <c r="EC322" s="5">
        <v>-9.4726819480167507E-2</v>
      </c>
      <c r="ED322" s="5">
        <v>0.169214341304567</v>
      </c>
      <c r="EE322" s="5">
        <v>-9.8851988383592798E-2</v>
      </c>
      <c r="EF322" s="5">
        <v>0.12899778267762299</v>
      </c>
      <c r="EG322" s="5">
        <v>-9.0370708248350307E-2</v>
      </c>
      <c r="EH322" s="5">
        <v>0.19278611207198601</v>
      </c>
      <c r="EI322" s="5">
        <v>-0.13862826031779599</v>
      </c>
      <c r="EJ322" s="5">
        <v>0.200110517015467</v>
      </c>
      <c r="EK322" s="5">
        <v>-0.140952584155567</v>
      </c>
      <c r="EL322" s="5">
        <v>0.110176122697326</v>
      </c>
      <c r="EM322" s="5">
        <v>-4.6384519384564102E-2</v>
      </c>
      <c r="EN322" s="5">
        <v>0.509879410513153</v>
      </c>
      <c r="EO322" s="5">
        <v>-0.317870509629191</v>
      </c>
      <c r="EP322" s="5">
        <v>0.135378300337609</v>
      </c>
      <c r="EQ322" s="5">
        <v>-0.113646374802842</v>
      </c>
      <c r="ER322" s="5">
        <v>0.13170671585581301</v>
      </c>
      <c r="ES322" s="5">
        <v>-0.100796098646912</v>
      </c>
      <c r="ET322" s="5">
        <v>4.3568205796236902E-2</v>
      </c>
      <c r="EU322" s="5">
        <v>-6.4391608505110595E-2</v>
      </c>
      <c r="EV322" s="5">
        <v>2.08728323058914E-2</v>
      </c>
      <c r="EW322" s="5">
        <v>-6.3651583269425299E-2</v>
      </c>
      <c r="EX322" s="5">
        <v>1.2949422042247499E-2</v>
      </c>
      <c r="EY322" s="5">
        <v>6.8315609315654901E-3</v>
      </c>
      <c r="EZ322" s="5">
        <v>0.113375676318622</v>
      </c>
      <c r="FA322" s="5">
        <v>-7.8596008598658201E-2</v>
      </c>
      <c r="FB322" s="5">
        <v>0.88099641936338402</v>
      </c>
      <c r="FC322" s="5">
        <v>-0.726035364319782</v>
      </c>
      <c r="FD322" s="5">
        <v>0.14593354055253099</v>
      </c>
      <c r="FE322" s="5">
        <v>-0.113061278424745</v>
      </c>
      <c r="FF322" s="5">
        <v>0.88091043493885002</v>
      </c>
      <c r="FG322" s="5">
        <v>-0.71106483066454196</v>
      </c>
      <c r="FH322" s="5">
        <v>2.54592536286363E-2</v>
      </c>
      <c r="FI322" s="5">
        <v>4.6355013833247097E-2</v>
      </c>
      <c r="FJ322" s="5">
        <v>0.13823118842993201</v>
      </c>
      <c r="FK322" s="5">
        <v>-8.23349452762102E-2</v>
      </c>
      <c r="FL322" s="5">
        <v>0.39061822990766198</v>
      </c>
      <c r="FM322" s="5">
        <v>-7.7211936472717804E-2</v>
      </c>
      <c r="FN322" s="5">
        <v>0.28738346562890599</v>
      </c>
      <c r="FO322" s="5">
        <v>-0.113385554082072</v>
      </c>
      <c r="FP322" s="5">
        <v>7.0793004991969902E-2</v>
      </c>
      <c r="FQ322" s="5">
        <v>1.5375793581156301E-3</v>
      </c>
      <c r="FR322" s="5">
        <v>0.10279114015360501</v>
      </c>
      <c r="FS322" s="5">
        <v>0.18257899946835099</v>
      </c>
      <c r="FT322" s="5">
        <v>0.15200813141469799</v>
      </c>
      <c r="FU322" s="5">
        <v>-4.7398557437145203E-2</v>
      </c>
      <c r="FV322" s="5">
        <v>0.78265279831327905</v>
      </c>
      <c r="FW322" s="5">
        <v>-0.65444867675783902</v>
      </c>
      <c r="FX322" s="5">
        <v>0.102781596120522</v>
      </c>
      <c r="FY322" s="5">
        <v>-7.1915176107890999E-2</v>
      </c>
      <c r="FZ322" s="5">
        <v>0.20128631525013699</v>
      </c>
      <c r="GA322" s="5">
        <v>-8.3005667015051396E-2</v>
      </c>
      <c r="GB322" s="5">
        <v>0.74878788749897995</v>
      </c>
      <c r="GC322" s="5">
        <v>-0.53539190146460702</v>
      </c>
      <c r="GD322" s="5">
        <v>0.47479507892077499</v>
      </c>
      <c r="GE322" s="5">
        <v>-0.231277601267594</v>
      </c>
      <c r="GF322" s="5">
        <v>0.165804689428453</v>
      </c>
      <c r="GG322" s="5">
        <v>-0.122547358688242</v>
      </c>
      <c r="GH322" s="5">
        <v>0.28781798583615997</v>
      </c>
      <c r="GI322" s="5">
        <v>2.4105108310887299E-2</v>
      </c>
      <c r="GJ322" s="5">
        <v>1.2478421974822001E-2</v>
      </c>
      <c r="GK322" s="5">
        <v>-2.3790834176766602E-2</v>
      </c>
      <c r="GL322" s="5">
        <v>0.119821433781037</v>
      </c>
      <c r="GM322" s="5">
        <v>-9.5504203260595694E-2</v>
      </c>
      <c r="GN322" s="5">
        <v>0.71465791699815095</v>
      </c>
      <c r="GO322" s="5">
        <v>-0.51300268098981605</v>
      </c>
      <c r="GP322" s="5">
        <v>2.5450123487049E-2</v>
      </c>
      <c r="GQ322" s="5">
        <v>-1.1330259057626701E-2</v>
      </c>
      <c r="GR322" s="5">
        <v>6.9307335610292398E-2</v>
      </c>
      <c r="GS322" s="5">
        <v>-3.52683212621836E-2</v>
      </c>
      <c r="GT322" s="5">
        <v>0.40467927944021997</v>
      </c>
      <c r="GU322" s="5">
        <v>-0.17744378357139701</v>
      </c>
      <c r="GV322" s="5">
        <v>0.19584668556775101</v>
      </c>
      <c r="GW322" s="5">
        <v>-0.141742122657775</v>
      </c>
      <c r="GX322" s="5">
        <v>3.9205653549377197E-2</v>
      </c>
      <c r="GY322" s="5">
        <v>1.9685389850991001E-2</v>
      </c>
      <c r="GZ322" s="5">
        <v>0.60964157669366104</v>
      </c>
      <c r="HA322" s="5">
        <v>-0.447993212293049</v>
      </c>
      <c r="HB322" s="5">
        <v>0.13807172209344401</v>
      </c>
      <c r="HC322" s="5">
        <v>-0.141179436618799</v>
      </c>
      <c r="HD322" s="5">
        <v>0.39952102848719701</v>
      </c>
      <c r="HE322" s="5">
        <v>7.6374225940115004E-2</v>
      </c>
      <c r="HF322" s="5">
        <v>0.520467607837937</v>
      </c>
      <c r="HG322" s="5">
        <v>-0.32681983991945102</v>
      </c>
      <c r="HH322" s="5">
        <v>0.69312909339616002</v>
      </c>
      <c r="HI322" s="5">
        <v>-0.49123896028002001</v>
      </c>
      <c r="HJ322" s="5">
        <v>0.47600182326499402</v>
      </c>
      <c r="HK322" s="5">
        <v>-0.29148664872464303</v>
      </c>
      <c r="HL322" s="5">
        <v>0.265265694115148</v>
      </c>
      <c r="HM322" s="5">
        <v>-9.2883811012501802E-2</v>
      </c>
      <c r="HN322" s="5">
        <v>0.80031800540435605</v>
      </c>
      <c r="HO322" s="5">
        <v>-0.60288439872617705</v>
      </c>
      <c r="HP322" s="5">
        <v>0.150768137562342</v>
      </c>
      <c r="HQ322" s="5">
        <v>-8.36528884568669E-2</v>
      </c>
      <c r="HR322" s="5">
        <v>0.16340806421413201</v>
      </c>
      <c r="HS322" s="5">
        <v>-9.7700131945334903E-2</v>
      </c>
      <c r="HT322" s="5">
        <v>0.88743508498011403</v>
      </c>
      <c r="HU322" s="5">
        <v>-0.69962137032150096</v>
      </c>
      <c r="HV322" s="5">
        <v>6.6115484439254094E-2</v>
      </c>
      <c r="HW322" s="5">
        <v>-1.8082339053986901E-2</v>
      </c>
      <c r="HX322" s="5">
        <v>0.12366461477766499</v>
      </c>
      <c r="HY322" s="5">
        <v>-6.8848341762149406E-2</v>
      </c>
      <c r="HZ322" s="5">
        <v>0.80797572579308996</v>
      </c>
      <c r="IA322" s="5">
        <v>-0.61796619733649905</v>
      </c>
      <c r="IB322" s="5">
        <v>0.33035673340391702</v>
      </c>
      <c r="IC322" s="5">
        <v>-0.13113532369865499</v>
      </c>
      <c r="ID322" s="5">
        <v>0.18248266881478301</v>
      </c>
      <c r="IE322" s="5">
        <v>-0.20335310259358799</v>
      </c>
      <c r="IF322" s="5">
        <v>8.0332387940494604E-2</v>
      </c>
      <c r="IG322" s="5">
        <v>-2.6341686064009599E-2</v>
      </c>
      <c r="IH322" s="5">
        <v>0.117735022994249</v>
      </c>
      <c r="II322" s="5">
        <v>-8.88639320395712E-2</v>
      </c>
      <c r="IJ322" s="5">
        <v>1.4917017606247E-3</v>
      </c>
      <c r="IK322" s="5">
        <v>4.7556197826445802E-2</v>
      </c>
      <c r="IL322" s="5">
        <v>0.14670505402461501</v>
      </c>
      <c r="IM322" s="5">
        <v>-0.14692760067139901</v>
      </c>
      <c r="IN322" s="5">
        <v>6.7326267098734405E-2</v>
      </c>
      <c r="IO322" s="5">
        <v>-2.24761657911366E-2</v>
      </c>
      <c r="IP322" s="5">
        <v>0.23452940293478799</v>
      </c>
      <c r="IQ322" s="5">
        <v>-0.150717971386442</v>
      </c>
      <c r="IR322" s="5">
        <v>8.9487646426891498E-2</v>
      </c>
      <c r="IS322" s="5">
        <v>-2.33328446690849E-2</v>
      </c>
      <c r="IT322" s="5">
        <v>5.7929850923438102E-2</v>
      </c>
      <c r="IU322" s="5">
        <v>-6.1389688465447101E-3</v>
      </c>
      <c r="IV322" s="5">
        <v>0.18094766776298901</v>
      </c>
      <c r="IW322" s="5">
        <v>-0.116689566834692</v>
      </c>
      <c r="IX322" s="5">
        <v>0.114935545436483</v>
      </c>
      <c r="IY322" s="5">
        <v>-0.100716331479272</v>
      </c>
      <c r="IZ322" s="5">
        <v>0.659031600641104</v>
      </c>
      <c r="JA322" s="5">
        <v>-0.45459824422289202</v>
      </c>
      <c r="JB322" s="5">
        <v>0.40028516289955701</v>
      </c>
      <c r="JC322" s="5">
        <v>-0.23281927549394199</v>
      </c>
      <c r="JD322" s="5">
        <v>0.51497911969685795</v>
      </c>
      <c r="JE322" s="5">
        <v>-0.180163552099038</v>
      </c>
      <c r="JF322" s="5">
        <v>3.9339048778455699E-3</v>
      </c>
      <c r="JG322" s="5">
        <v>1.0009893289620301E-2</v>
      </c>
      <c r="JH322" s="5">
        <v>0.54714887048871397</v>
      </c>
      <c r="JI322" s="5">
        <v>-0.277605593379319</v>
      </c>
      <c r="JJ322" s="5">
        <v>0.17801640567448801</v>
      </c>
      <c r="JK322" s="5">
        <v>-0.13725040183572301</v>
      </c>
      <c r="JL322" s="5">
        <v>0.21447088658682101</v>
      </c>
      <c r="JM322" s="5">
        <v>-0.125433029841027</v>
      </c>
      <c r="JN322" s="5">
        <v>0.12806066778849801</v>
      </c>
      <c r="JO322" s="5">
        <v>-0.114133803773295</v>
      </c>
      <c r="JP322" s="5">
        <v>0.176179637281835</v>
      </c>
      <c r="JQ322" s="5">
        <v>-9.3342269453119103E-2</v>
      </c>
      <c r="JR322" s="5">
        <v>3.3169334636554103E-2</v>
      </c>
      <c r="JS322" s="5">
        <v>3.8402807862370297E-2</v>
      </c>
      <c r="JT322" s="5">
        <v>1.5827420757545101E-2</v>
      </c>
      <c r="JU322" s="5">
        <v>2.1542222589389801E-2</v>
      </c>
      <c r="JV322" s="5">
        <v>4.9194940778626101E-2</v>
      </c>
      <c r="JW322" s="5">
        <v>3.0305014332395498E-3</v>
      </c>
      <c r="JX322" s="5">
        <v>0.67879612223905395</v>
      </c>
      <c r="JY322" s="5">
        <v>-0.48539450933235501</v>
      </c>
      <c r="JZ322" s="5">
        <v>0.12680315368204001</v>
      </c>
      <c r="KA322" s="5">
        <v>-9.6654993808028097E-2</v>
      </c>
      <c r="KB322" s="5">
        <v>0.57334052788465795</v>
      </c>
      <c r="KC322" s="5">
        <v>-0.34985720836068501</v>
      </c>
      <c r="KD322" s="5">
        <v>0.38362722697326201</v>
      </c>
      <c r="KE322" s="5">
        <v>-0.20704192609695701</v>
      </c>
      <c r="KF322" s="5">
        <v>1.7329040152802299E-2</v>
      </c>
      <c r="KG322" s="5">
        <v>4.4350139102562802E-2</v>
      </c>
      <c r="KH322" s="5">
        <v>0.185542254060792</v>
      </c>
      <c r="KI322" s="5">
        <v>-5.9263328400872499E-2</v>
      </c>
      <c r="KJ322" s="5">
        <v>3.6266796170197797E-2</v>
      </c>
      <c r="KK322" s="5">
        <v>-5.39477281199926E-2</v>
      </c>
      <c r="KL322" s="5">
        <v>0.193751369165194</v>
      </c>
      <c r="KM322" s="5">
        <v>2.09714564923233E-2</v>
      </c>
      <c r="KN322" s="5">
        <v>0.82393794887604399</v>
      </c>
      <c r="KO322" s="5">
        <v>-0.62814361742998703</v>
      </c>
      <c r="KP322" s="5">
        <v>0.31086485971870398</v>
      </c>
      <c r="KQ322" s="5">
        <v>-0.12688375053926301</v>
      </c>
      <c r="KR322" s="5">
        <v>0.29060314401958998</v>
      </c>
      <c r="KS322" s="5">
        <v>-0.15764132984238</v>
      </c>
      <c r="KT322" s="5">
        <v>7.9623725094465206E-2</v>
      </c>
      <c r="KU322" s="5">
        <v>-4.4932904198708802E-2</v>
      </c>
      <c r="KV322" s="5">
        <v>0.14443023357495299</v>
      </c>
      <c r="KW322" s="5">
        <v>-9.6779682563079603E-2</v>
      </c>
      <c r="KX322" s="5">
        <v>0.173787711228545</v>
      </c>
      <c r="KY322" s="5">
        <v>-0.11489266945824</v>
      </c>
      <c r="KZ322" s="5">
        <v>5.1930697701948698E-2</v>
      </c>
      <c r="LA322" s="5">
        <v>5.9974485935468903E-3</v>
      </c>
      <c r="LB322" s="5">
        <v>0.138635267047552</v>
      </c>
      <c r="LC322" s="5">
        <v>-7.4505928446587502E-2</v>
      </c>
      <c r="LD322" s="5">
        <v>8.9236581737865805E-2</v>
      </c>
      <c r="LE322" s="5">
        <v>-7.7062455733703794E-2</v>
      </c>
      <c r="LF322" s="5">
        <v>0.852424645499957</v>
      </c>
      <c r="LG322" s="5">
        <v>-0.70064322275791802</v>
      </c>
      <c r="LH322" s="5">
        <v>0.13101835717381699</v>
      </c>
      <c r="LI322" s="5">
        <v>-9.6140267740845498E-2</v>
      </c>
      <c r="LJ322" s="5">
        <v>1</v>
      </c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</row>
    <row r="323" spans="1:389" x14ac:dyDescent="0.45">
      <c r="A323" s="4" t="str">
        <f ca="1">"SRB / beta2dist in "&amp;CELL("address",'damages-1990'!$K$162)</f>
        <v>SRB / beta2dist in '[BHM betas v3pd.xlsx]damages-1990'!$K$162</v>
      </c>
      <c r="B323" s="6">
        <v>-0.111350067566582</v>
      </c>
      <c r="C323" s="5">
        <v>0.15172556398685599</v>
      </c>
      <c r="D323" s="5">
        <v>-1.179159433361E-2</v>
      </c>
      <c r="E323" s="5">
        <v>0.21188647195580701</v>
      </c>
      <c r="F323" s="5">
        <v>-0.61121036924313299</v>
      </c>
      <c r="G323" s="5">
        <v>0.80567648007472903</v>
      </c>
      <c r="H323" s="5">
        <v>-0.41632368500158501</v>
      </c>
      <c r="I323" s="5">
        <v>0.33003854007128502</v>
      </c>
      <c r="J323" s="5">
        <v>0.102030180043503</v>
      </c>
      <c r="K323" s="5">
        <v>0.142139333780615</v>
      </c>
      <c r="L323" s="5">
        <v>-4.9394904821390299E-2</v>
      </c>
      <c r="M323" s="5">
        <v>0.133490615979586</v>
      </c>
      <c r="N323" s="5">
        <v>-0.38196738241582201</v>
      </c>
      <c r="O323" s="5">
        <v>0.30046174630602202</v>
      </c>
      <c r="P323" s="5">
        <v>-2.7397309384478999E-2</v>
      </c>
      <c r="Q323" s="5">
        <v>0.142623550193063</v>
      </c>
      <c r="R323" s="5">
        <v>9.8761271524755598E-2</v>
      </c>
      <c r="S323" s="5">
        <v>8.1472934663140303E-2</v>
      </c>
      <c r="T323" s="5">
        <v>-0.62323093645058703</v>
      </c>
      <c r="U323" s="5">
        <v>0.61442357393858904</v>
      </c>
      <c r="V323" s="5">
        <v>-0.18972301194858401</v>
      </c>
      <c r="W323" s="5">
        <v>0.274317976743924</v>
      </c>
      <c r="X323" s="5">
        <v>-3.2391597700749501E-2</v>
      </c>
      <c r="Y323" s="5">
        <v>0.21042815808616699</v>
      </c>
      <c r="Z323" s="5">
        <v>-0.50430563706401899</v>
      </c>
      <c r="AA323" s="5">
        <v>0.54072247529268902</v>
      </c>
      <c r="AB323" s="5">
        <v>1.7423831785957401E-2</v>
      </c>
      <c r="AC323" s="5">
        <v>8.75312152699734E-2</v>
      </c>
      <c r="AD323" s="5">
        <v>-3.4232840601458599E-2</v>
      </c>
      <c r="AE323" s="5">
        <v>0.12418077194888801</v>
      </c>
      <c r="AF323" s="5">
        <v>0.24741413251373301</v>
      </c>
      <c r="AG323" s="5">
        <v>-8.1765117014359207E-2</v>
      </c>
      <c r="AH323" s="5">
        <v>-0.67068447703632905</v>
      </c>
      <c r="AI323" s="5">
        <v>0.83796151774716499</v>
      </c>
      <c r="AJ323" s="5">
        <v>0.12695268241654101</v>
      </c>
      <c r="AK323" s="5">
        <v>0.106845106734116</v>
      </c>
      <c r="AL323" s="5">
        <v>0.14502687131595901</v>
      </c>
      <c r="AM323" s="5">
        <v>-3.6522031489320102E-2</v>
      </c>
      <c r="AN323" s="5">
        <v>-0.71162569351681804</v>
      </c>
      <c r="AO323" s="5">
        <v>0.81212232503422299</v>
      </c>
      <c r="AP323" s="5">
        <v>-0.48577381939238101</v>
      </c>
      <c r="AQ323" s="5">
        <v>0.43335978493300298</v>
      </c>
      <c r="AR323" s="5">
        <v>0.124751580556642</v>
      </c>
      <c r="AS323" s="5">
        <v>2.6712183293014901E-2</v>
      </c>
      <c r="AT323" s="5">
        <v>0.185547001380305</v>
      </c>
      <c r="AU323" s="5">
        <v>-0.118568107018952</v>
      </c>
      <c r="AV323" s="5">
        <v>0.19067479933158599</v>
      </c>
      <c r="AW323" s="5">
        <v>-8.9748419306102997E-3</v>
      </c>
      <c r="AX323" s="5">
        <v>0.157496125270771</v>
      </c>
      <c r="AY323" s="5">
        <v>0.112328402488127</v>
      </c>
      <c r="AZ323" s="5">
        <v>-1.1795172817534101E-2</v>
      </c>
      <c r="BA323" s="5">
        <v>0.110984438198431</v>
      </c>
      <c r="BB323" s="5">
        <v>1.3797899626430301E-2</v>
      </c>
      <c r="BC323" s="5">
        <v>0.20728748158304799</v>
      </c>
      <c r="BD323" s="5">
        <v>-0.33352647807425101</v>
      </c>
      <c r="BE323" s="5">
        <v>0.36709701410517098</v>
      </c>
      <c r="BF323" s="5">
        <v>7.2330063847135997E-3</v>
      </c>
      <c r="BG323" s="5">
        <v>0.15833158019996599</v>
      </c>
      <c r="BH323" s="5">
        <v>4.5717357748124299E-2</v>
      </c>
      <c r="BI323" s="5">
        <v>0.117963248730671</v>
      </c>
      <c r="BJ323" s="5">
        <v>-0.40216846252585903</v>
      </c>
      <c r="BK323" s="5">
        <v>0.160672007687791</v>
      </c>
      <c r="BL323" s="5">
        <v>-0.57766616931238901</v>
      </c>
      <c r="BM323" s="5">
        <v>0.55089473409220402</v>
      </c>
      <c r="BN323" s="5">
        <v>-0.213467212063715</v>
      </c>
      <c r="BO323" s="5">
        <v>6.6157773446894594E-2</v>
      </c>
      <c r="BP323" s="5">
        <v>-0.36342706505345301</v>
      </c>
      <c r="BQ323" s="5">
        <v>0.25087840012851198</v>
      </c>
      <c r="BR323" s="5">
        <v>-0.11935399450331501</v>
      </c>
      <c r="BS323" s="5">
        <v>0.208342263638432</v>
      </c>
      <c r="BT323" s="5">
        <v>6.6308327073326706E-2</v>
      </c>
      <c r="BU323" s="5">
        <v>0.110409767594235</v>
      </c>
      <c r="BV323" s="5">
        <v>-1.47425453049513E-2</v>
      </c>
      <c r="BW323" s="5">
        <v>0.227755171580796</v>
      </c>
      <c r="BX323" s="5">
        <v>1.11894828889428E-2</v>
      </c>
      <c r="BY323" s="5">
        <v>0.15975537618580099</v>
      </c>
      <c r="BZ323" s="5">
        <v>4.2030496120322898E-2</v>
      </c>
      <c r="CA323" s="5">
        <v>0.170008617242391</v>
      </c>
      <c r="CB323" s="5">
        <v>4.3028740074377299E-2</v>
      </c>
      <c r="CC323" s="5">
        <v>9.1739483960147805E-2</v>
      </c>
      <c r="CD323" s="5">
        <v>3.8166012791928598E-2</v>
      </c>
      <c r="CE323" s="5">
        <v>3.0050612405816701E-2</v>
      </c>
      <c r="CF323" s="5">
        <v>8.6457415922268799E-2</v>
      </c>
      <c r="CG323" s="5">
        <v>2.75008767081499E-2</v>
      </c>
      <c r="CH323" s="5">
        <v>0.138970519349809</v>
      </c>
      <c r="CI323" s="5">
        <v>-4.2459018058077599E-2</v>
      </c>
      <c r="CJ323" s="5">
        <v>9.7675343421682007E-2</v>
      </c>
      <c r="CK323" s="5">
        <v>3.4011690266999503E-2</v>
      </c>
      <c r="CL323" s="5">
        <v>-0.636430389897647</v>
      </c>
      <c r="CM323" s="5">
        <v>0.65680259933061302</v>
      </c>
      <c r="CN323" s="5">
        <v>-0.58324045190170304</v>
      </c>
      <c r="CO323" s="5">
        <v>0.61662043655492604</v>
      </c>
      <c r="CP323" s="5">
        <v>-7.5001957165133096E-2</v>
      </c>
      <c r="CQ323" s="5">
        <v>0.14886553166795799</v>
      </c>
      <c r="CR323" s="5">
        <v>-3.1461331803756099E-2</v>
      </c>
      <c r="CS323" s="5">
        <v>0.13045260330918401</v>
      </c>
      <c r="CT323" s="5">
        <v>-0.47950165948968998</v>
      </c>
      <c r="CU323" s="5">
        <v>0.45306878931105898</v>
      </c>
      <c r="CV323" s="5">
        <v>-9.3572379795706401E-2</v>
      </c>
      <c r="CW323" s="5">
        <v>0.20961940653253</v>
      </c>
      <c r="CX323" s="5">
        <v>0.17290245916421099</v>
      </c>
      <c r="CY323" s="5">
        <v>-7.2806019596973501E-4</v>
      </c>
      <c r="CZ323" s="5">
        <v>1.2281973379794E-2</v>
      </c>
      <c r="DA323" s="5">
        <v>0.16982358688399801</v>
      </c>
      <c r="DB323" s="5">
        <v>0.22135672481883201</v>
      </c>
      <c r="DC323" s="5">
        <v>-1.9436132030210201E-2</v>
      </c>
      <c r="DD323" s="5">
        <v>-5.9790243094793E-2</v>
      </c>
      <c r="DE323" s="5">
        <v>0.158943863036803</v>
      </c>
      <c r="DF323" s="5">
        <v>0.156483928836507</v>
      </c>
      <c r="DG323" s="5">
        <v>-3.1588825457056803E-2</v>
      </c>
      <c r="DH323" s="5">
        <v>-0.17606800886723201</v>
      </c>
      <c r="DI323" s="5">
        <v>0.27945629579652398</v>
      </c>
      <c r="DJ323" s="5">
        <v>-0.401596278185336</v>
      </c>
      <c r="DK323" s="5">
        <v>0.33812724312141001</v>
      </c>
      <c r="DL323" s="5">
        <v>-8.8438171554319794E-2</v>
      </c>
      <c r="DM323" s="5">
        <v>0.21429229673914499</v>
      </c>
      <c r="DN323" s="5">
        <v>-0.35255284246407997</v>
      </c>
      <c r="DO323" s="5">
        <v>0.25344255617523098</v>
      </c>
      <c r="DP323" s="5">
        <v>8.1040571537687497E-2</v>
      </c>
      <c r="DQ323" s="5">
        <v>2.6767033892278899E-2</v>
      </c>
      <c r="DR323" s="5">
        <v>-0.45235839478126799</v>
      </c>
      <c r="DS323" s="5">
        <v>0.54670234921651895</v>
      </c>
      <c r="DT323" s="5">
        <v>2.0382895074302701E-2</v>
      </c>
      <c r="DU323" s="5">
        <v>5.8499268642651599E-2</v>
      </c>
      <c r="DV323" s="5">
        <v>-8.7432642321255E-2</v>
      </c>
      <c r="DW323" s="5">
        <v>0.21878538844836401</v>
      </c>
      <c r="DX323" s="5">
        <v>-0.35271087435097598</v>
      </c>
      <c r="DY323" s="5">
        <v>0.27690577838407299</v>
      </c>
      <c r="DZ323" s="5">
        <v>-0.40708900295637801</v>
      </c>
      <c r="EA323" s="5">
        <v>0.35723143312501998</v>
      </c>
      <c r="EB323" s="5">
        <v>-2.24494107531054E-2</v>
      </c>
      <c r="EC323" s="5">
        <v>0.14731658130991601</v>
      </c>
      <c r="ED323" s="5">
        <v>-1.93376323577178E-2</v>
      </c>
      <c r="EE323" s="5">
        <v>0.145497447863603</v>
      </c>
      <c r="EF323" s="5">
        <v>-4.6995553147016998E-2</v>
      </c>
      <c r="EG323" s="5">
        <v>0.14601906318703101</v>
      </c>
      <c r="EH323" s="5">
        <v>-1.6055005613633998E-2</v>
      </c>
      <c r="EI323" s="5">
        <v>0.16754753771313299</v>
      </c>
      <c r="EJ323" s="5">
        <v>-3.3518893379119299E-2</v>
      </c>
      <c r="EK323" s="5">
        <v>0.18388132476883101</v>
      </c>
      <c r="EL323" s="5">
        <v>0.103033323008139</v>
      </c>
      <c r="EM323" s="5">
        <v>2.20413839355229E-2</v>
      </c>
      <c r="EN323" s="5">
        <v>-0.24120582009771699</v>
      </c>
      <c r="EO323" s="5">
        <v>0.36204707781532802</v>
      </c>
      <c r="EP323" s="5">
        <v>-6.5875499462987902E-2</v>
      </c>
      <c r="EQ323" s="5">
        <v>0.176255465234052</v>
      </c>
      <c r="ER323" s="5">
        <v>7.8962103910950404E-2</v>
      </c>
      <c r="ES323" s="5">
        <v>0.111597801525257</v>
      </c>
      <c r="ET323" s="5">
        <v>0.17881946361876</v>
      </c>
      <c r="EU323" s="5">
        <v>2.2197755079137699E-2</v>
      </c>
      <c r="EV323" s="5">
        <v>0.190839903219827</v>
      </c>
      <c r="EW323" s="5">
        <v>3.95188750130957E-2</v>
      </c>
      <c r="EX323" s="5">
        <v>0.25353500650924599</v>
      </c>
      <c r="EY323" s="5">
        <v>-9.0030812969921506E-2</v>
      </c>
      <c r="EZ323" s="5">
        <v>7.5615401685680594E-2</v>
      </c>
      <c r="FA323" s="5">
        <v>0.104839067658894</v>
      </c>
      <c r="FB323" s="5">
        <v>-0.66458675042475301</v>
      </c>
      <c r="FC323" s="5">
        <v>0.84437172579805997</v>
      </c>
      <c r="FD323" s="5">
        <v>-4.0238866825028599E-2</v>
      </c>
      <c r="FE323" s="5">
        <v>0.17040733173398201</v>
      </c>
      <c r="FF323" s="5">
        <v>-0.70450859173345104</v>
      </c>
      <c r="FG323" s="5">
        <v>0.84507653509874703</v>
      </c>
      <c r="FH323" s="5">
        <v>0.20629154889529799</v>
      </c>
      <c r="FI323" s="5">
        <v>-0.115146317377883</v>
      </c>
      <c r="FJ323" s="5">
        <v>0.11410080945826701</v>
      </c>
      <c r="FK323" s="5">
        <v>8.0914307489327E-2</v>
      </c>
      <c r="FL323" s="5">
        <v>-0.189033039921641</v>
      </c>
      <c r="FM323" s="5">
        <v>6.0501897556362698E-2</v>
      </c>
      <c r="FN323" s="5">
        <v>1.7965156165016E-2</v>
      </c>
      <c r="FO323" s="5">
        <v>0.13149807081383799</v>
      </c>
      <c r="FP323" s="5">
        <v>0.170792991986111</v>
      </c>
      <c r="FQ323" s="5">
        <v>8.6422244806653604E-3</v>
      </c>
      <c r="FR323" s="5">
        <v>-1.76412879610852E-2</v>
      </c>
      <c r="FS323" s="5">
        <v>-0.225032319587151</v>
      </c>
      <c r="FT323" s="5">
        <v>0.135621856885102</v>
      </c>
      <c r="FU323" s="5">
        <v>4.55603821693654E-2</v>
      </c>
      <c r="FV323" s="5">
        <v>-0.470796531002872</v>
      </c>
      <c r="FW323" s="5">
        <v>0.68611227895240701</v>
      </c>
      <c r="FX323" s="5">
        <v>4.93661027987881E-2</v>
      </c>
      <c r="FY323" s="5">
        <v>8.3337851128615706E-2</v>
      </c>
      <c r="FZ323" s="5">
        <v>0.103589537364245</v>
      </c>
      <c r="GA323" s="5">
        <v>8.5762635518248406E-2</v>
      </c>
      <c r="GB323" s="5">
        <v>-0.45877895794942603</v>
      </c>
      <c r="GC323" s="5">
        <v>0.58444615617029605</v>
      </c>
      <c r="GD323" s="5">
        <v>-0.38692150882347998</v>
      </c>
      <c r="GE323" s="5">
        <v>0.303890872688447</v>
      </c>
      <c r="GF323" s="5">
        <v>5.5918882225865399E-2</v>
      </c>
      <c r="GG323" s="5">
        <v>0.131453405258916</v>
      </c>
      <c r="GH323" s="5">
        <v>-0.19285060408322599</v>
      </c>
      <c r="GI323" s="5">
        <v>-4.6014023788014502E-2</v>
      </c>
      <c r="GJ323" s="5">
        <v>0.186983244282693</v>
      </c>
      <c r="GK323" s="5">
        <v>-1.1862708319154499E-2</v>
      </c>
      <c r="GL323" s="5">
        <v>-6.3662935989386105E-2</v>
      </c>
      <c r="GM323" s="5">
        <v>0.17107259403984201</v>
      </c>
      <c r="GN323" s="5">
        <v>-0.39224576399939398</v>
      </c>
      <c r="GO323" s="5">
        <v>0.52814600681402801</v>
      </c>
      <c r="GP323" s="5">
        <v>0.18628367051855099</v>
      </c>
      <c r="GQ323" s="5">
        <v>2.8940330139390898E-2</v>
      </c>
      <c r="GR323" s="5">
        <v>0.165282893626234</v>
      </c>
      <c r="GS323" s="5">
        <v>-9.6847272335812799E-3</v>
      </c>
      <c r="GT323" s="5">
        <v>-8.0305828175746802E-2</v>
      </c>
      <c r="GU323" s="5">
        <v>0.18623373689303999</v>
      </c>
      <c r="GV323" s="5">
        <v>-0.10355727698808</v>
      </c>
      <c r="GW323" s="5">
        <v>0.21030358783664299</v>
      </c>
      <c r="GX323" s="5">
        <v>0.193856560888096</v>
      </c>
      <c r="GY323" s="5">
        <v>-3.2837576902866802E-2</v>
      </c>
      <c r="GZ323" s="5">
        <v>-0.58661547889686705</v>
      </c>
      <c r="HA323" s="5">
        <v>0.56456282590422402</v>
      </c>
      <c r="HB323" s="5">
        <v>4.13471338809576E-2</v>
      </c>
      <c r="HC323" s="5">
        <v>0.15217474957021301</v>
      </c>
      <c r="HD323" s="5">
        <v>1.23362382268802E-2</v>
      </c>
      <c r="HE323" s="5">
        <v>-0.15099028452021901</v>
      </c>
      <c r="HF323" s="5">
        <v>-0.46753455074001699</v>
      </c>
      <c r="HG323" s="5">
        <v>0.41785383529218401</v>
      </c>
      <c r="HH323" s="5">
        <v>-0.53365920995712002</v>
      </c>
      <c r="HI323" s="5">
        <v>0.56987745268531698</v>
      </c>
      <c r="HJ323" s="5">
        <v>-0.43929701348899902</v>
      </c>
      <c r="HK323" s="5">
        <v>0.38272572109728498</v>
      </c>
      <c r="HL323" s="5">
        <v>7.7022396831317202E-2</v>
      </c>
      <c r="HM323" s="5">
        <v>3.5979194388239197E-2</v>
      </c>
      <c r="HN323" s="5">
        <v>-0.60967831191923905</v>
      </c>
      <c r="HO323" s="5">
        <v>0.70494536385719497</v>
      </c>
      <c r="HP323" s="5">
        <v>6.9930518366731503E-2</v>
      </c>
      <c r="HQ323" s="5">
        <v>0.132662826593865</v>
      </c>
      <c r="HR323" s="5">
        <v>0.144083027717435</v>
      </c>
      <c r="HS323" s="5">
        <v>4.9475470753687599E-2</v>
      </c>
      <c r="HT323" s="5">
        <v>-0.70868362951917097</v>
      </c>
      <c r="HU323" s="5">
        <v>0.85672930306968997</v>
      </c>
      <c r="HV323" s="5">
        <v>8.7993869830863103E-2</v>
      </c>
      <c r="HW323" s="5">
        <v>4.31335891953551E-2</v>
      </c>
      <c r="HX323" s="5">
        <v>0.11837274353322801</v>
      </c>
      <c r="HY323" s="5">
        <v>5.4672750659920402E-2</v>
      </c>
      <c r="HZ323" s="5">
        <v>-0.69646937679509202</v>
      </c>
      <c r="IA323" s="5">
        <v>0.75976345019717695</v>
      </c>
      <c r="IB323" s="5">
        <v>-0.30467534328927698</v>
      </c>
      <c r="IC323" s="5">
        <v>0.16571617411116599</v>
      </c>
      <c r="ID323" s="5">
        <v>6.4054944513475204E-3</v>
      </c>
      <c r="IE323" s="5">
        <v>0.27767389444617502</v>
      </c>
      <c r="IF323" s="5">
        <v>0.120236089619203</v>
      </c>
      <c r="IG323" s="5">
        <v>2.1917856570198999E-2</v>
      </c>
      <c r="IH323" s="5">
        <v>-2.10239287110516E-2</v>
      </c>
      <c r="II323" s="5">
        <v>0.12955094529293901</v>
      </c>
      <c r="IJ323" s="5">
        <v>0.13665718398410601</v>
      </c>
      <c r="IK323" s="5">
        <v>-7.6233173200326604E-2</v>
      </c>
      <c r="IL323" s="5">
        <v>7.5677564144662701E-2</v>
      </c>
      <c r="IM323" s="5">
        <v>0.18605566268507301</v>
      </c>
      <c r="IN323" s="5">
        <v>0.16080156657643299</v>
      </c>
      <c r="IO323" s="5">
        <v>-5.6062821454243002E-4</v>
      </c>
      <c r="IP323" s="5">
        <v>9.5836727274322304E-3</v>
      </c>
      <c r="IQ323" s="5">
        <v>0.16070249911454501</v>
      </c>
      <c r="IR323" s="5">
        <v>8.44942617744944E-2</v>
      </c>
      <c r="IS323" s="5">
        <v>2.23611577968666E-2</v>
      </c>
      <c r="IT323" s="5">
        <v>0.108639317089591</v>
      </c>
      <c r="IU323" s="5">
        <v>3.06575919098141E-2</v>
      </c>
      <c r="IV323" s="5">
        <v>-0.108871361270414</v>
      </c>
      <c r="IW323" s="5">
        <v>0.20549280194084299</v>
      </c>
      <c r="IX323" s="5">
        <v>3.4607232325314201E-2</v>
      </c>
      <c r="IY323" s="5">
        <v>0.13200194495150999</v>
      </c>
      <c r="IZ323" s="5">
        <v>-0.50527809574504701</v>
      </c>
      <c r="JA323" s="5">
        <v>0.52476639062923003</v>
      </c>
      <c r="JB323" s="5">
        <v>-0.39962076839621302</v>
      </c>
      <c r="JC323" s="5">
        <v>0.31214423127720597</v>
      </c>
      <c r="JD323" s="5">
        <v>-0.104040561176668</v>
      </c>
      <c r="JE323" s="5">
        <v>0.118012010260393</v>
      </c>
      <c r="JF323" s="5">
        <v>9.5527007709349201E-2</v>
      </c>
      <c r="JG323" s="5">
        <v>-1.19379366072799E-2</v>
      </c>
      <c r="JH323" s="5">
        <v>-0.24328239674347199</v>
      </c>
      <c r="JI323" s="5">
        <v>0.22997549444752399</v>
      </c>
      <c r="JJ323" s="5">
        <v>3.89965017441119E-2</v>
      </c>
      <c r="JK323" s="5">
        <v>0.187081944181404</v>
      </c>
      <c r="JL323" s="5">
        <v>6.8945048063707604E-2</v>
      </c>
      <c r="JM323" s="5">
        <v>0.12873242918910199</v>
      </c>
      <c r="JN323" s="5">
        <v>-9.0169176659571203E-3</v>
      </c>
      <c r="JO323" s="5">
        <v>0.152851280936384</v>
      </c>
      <c r="JP323" s="5">
        <v>0.110565612244098</v>
      </c>
      <c r="JQ323" s="5">
        <v>6.0034359276492498E-2</v>
      </c>
      <c r="JR323" s="5">
        <v>0.18112995998953901</v>
      </c>
      <c r="JS323" s="5">
        <v>-3.8116185560853597E-2</v>
      </c>
      <c r="JT323" s="5">
        <v>7.6008203727596299E-2</v>
      </c>
      <c r="JU323" s="5">
        <v>1.17944669299186E-2</v>
      </c>
      <c r="JV323" s="5">
        <v>0.18608294478936399</v>
      </c>
      <c r="JW323" s="5">
        <v>-2.1694449081452901E-2</v>
      </c>
      <c r="JX323" s="5">
        <v>-0.59547385336033698</v>
      </c>
      <c r="JY323" s="5">
        <v>0.59556320977719202</v>
      </c>
      <c r="JZ323" s="5">
        <v>-6.1026228437329501E-2</v>
      </c>
      <c r="KA323" s="5">
        <v>0.17687056648410401</v>
      </c>
      <c r="KB323" s="5">
        <v>-0.498765895929211</v>
      </c>
      <c r="KC323" s="5">
        <v>0.44485590612013198</v>
      </c>
      <c r="KD323" s="5">
        <v>-4.1586530629615898E-2</v>
      </c>
      <c r="KE323" s="5">
        <v>0.17221506032245101</v>
      </c>
      <c r="KF323" s="5">
        <v>0.17061145922113399</v>
      </c>
      <c r="KG323" s="5">
        <v>-7.8436910376094293E-2</v>
      </c>
      <c r="KH323" s="5">
        <v>9.6924112164447906E-2</v>
      </c>
      <c r="KI323" s="5">
        <v>7.4722623690911205E-2</v>
      </c>
      <c r="KJ323" s="5">
        <v>0.15271275117890101</v>
      </c>
      <c r="KK323" s="5">
        <v>9.5011731763750898E-2</v>
      </c>
      <c r="KL323" s="5">
        <v>0.10993018861163199</v>
      </c>
      <c r="KM323" s="5">
        <v>-9.3327192450528798E-2</v>
      </c>
      <c r="KN323" s="5">
        <v>-0.678407391001425</v>
      </c>
      <c r="KO323" s="5">
        <v>0.76411523901258005</v>
      </c>
      <c r="KP323" s="5">
        <v>-0.33632426107991797</v>
      </c>
      <c r="KQ323" s="5">
        <v>0.19823679532425401</v>
      </c>
      <c r="KR323" s="5">
        <v>-7.1903997068161696E-2</v>
      </c>
      <c r="KS323" s="5">
        <v>0.19976682691594799</v>
      </c>
      <c r="KT323" s="5">
        <v>0.15832466823631799</v>
      </c>
      <c r="KU323" s="5">
        <v>4.92458086854861E-2</v>
      </c>
      <c r="KV323" s="5">
        <v>3.5907877359266399E-2</v>
      </c>
      <c r="KW323" s="5">
        <v>0.114607752891278</v>
      </c>
      <c r="KX323" s="5">
        <v>-1.9885514736132201E-3</v>
      </c>
      <c r="KY323" s="5">
        <v>0.14201644834388799</v>
      </c>
      <c r="KZ323" s="5">
        <v>9.7086919590432794E-2</v>
      </c>
      <c r="LA323" s="5">
        <v>-2.0544344546671801E-2</v>
      </c>
      <c r="LB323" s="5">
        <v>7.1583708251866399E-2</v>
      </c>
      <c r="LC323" s="5">
        <v>6.39214579563714E-2</v>
      </c>
      <c r="LD323" s="5">
        <v>7.9134481026716996E-2</v>
      </c>
      <c r="LE323" s="5">
        <v>0.103324142422242</v>
      </c>
      <c r="LF323" s="5">
        <v>-0.61004070947193301</v>
      </c>
      <c r="LG323" s="5">
        <v>0.79154553220381696</v>
      </c>
      <c r="LH323" s="5">
        <v>7.5087006703202896E-2</v>
      </c>
      <c r="LI323" s="5">
        <v>0.105590648162194</v>
      </c>
      <c r="LJ323" s="5">
        <v>-0.82898380725518805</v>
      </c>
      <c r="LK323" s="5">
        <v>1</v>
      </c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</row>
    <row r="324" spans="1:389" x14ac:dyDescent="0.45">
      <c r="A324" s="4" t="str">
        <f ca="1">"SSD / beta1dist in "&amp;CELL("address",'damages-1990'!$J$163)</f>
        <v>SSD / beta1dist in '[BHM betas v3pd.xlsx]damages-1990'!$J$163</v>
      </c>
      <c r="B324" s="6">
        <v>0.21447750053807901</v>
      </c>
      <c r="C324" s="5">
        <v>5.9333856120903597E-2</v>
      </c>
      <c r="D324" s="5">
        <v>0.60334440331541495</v>
      </c>
      <c r="E324" s="5">
        <v>-0.36674782713203302</v>
      </c>
      <c r="F324" s="5">
        <v>0.16151423755338801</v>
      </c>
      <c r="G324" s="5">
        <v>4.3340554388162797E-2</v>
      </c>
      <c r="H324" s="5">
        <v>-0.16675309388943399</v>
      </c>
      <c r="I324" s="5">
        <v>0.14593483812727601</v>
      </c>
      <c r="J324" s="5">
        <v>0.62662344759686806</v>
      </c>
      <c r="K324" s="5">
        <v>-0.36249048513558102</v>
      </c>
      <c r="L324" s="5">
        <v>0.26997657343124798</v>
      </c>
      <c r="M324" s="5">
        <v>3.9130517591993499E-2</v>
      </c>
      <c r="N324" s="5">
        <v>1.4620276737786399E-2</v>
      </c>
      <c r="O324" s="5">
        <v>-7.7199504027904001E-2</v>
      </c>
      <c r="P324" s="5">
        <v>0.47121553030431701</v>
      </c>
      <c r="Q324" s="5">
        <v>-0.29229414995009401</v>
      </c>
      <c r="R324" s="5">
        <v>0.45877019473620201</v>
      </c>
      <c r="S324" s="5">
        <v>-0.22584748998621201</v>
      </c>
      <c r="T324" s="5">
        <v>0.162124616686491</v>
      </c>
      <c r="U324" s="5">
        <v>-0.21558697128568</v>
      </c>
      <c r="V324" s="5">
        <v>0.12048690562438</v>
      </c>
      <c r="W324" s="5">
        <v>0.23337357374126699</v>
      </c>
      <c r="X324" s="5">
        <v>0.58935434745397797</v>
      </c>
      <c r="Y324" s="5">
        <v>-0.35021270747035299</v>
      </c>
      <c r="Z324" s="5">
        <v>6.9591802492055502E-2</v>
      </c>
      <c r="AA324" s="5">
        <v>-5.0089073098226302E-3</v>
      </c>
      <c r="AB324" s="5">
        <v>0.53957408616164704</v>
      </c>
      <c r="AC324" s="5">
        <v>-0.35901913276832098</v>
      </c>
      <c r="AD324" s="5">
        <v>0.51225245085614601</v>
      </c>
      <c r="AE324" s="5">
        <v>-0.29287843149975001</v>
      </c>
      <c r="AF324" s="5">
        <v>0.24141450185385899</v>
      </c>
      <c r="AG324" s="5">
        <v>-5.10872289535476E-2</v>
      </c>
      <c r="AH324" s="5">
        <v>0.15021122901099901</v>
      </c>
      <c r="AI324" s="5">
        <v>-6.1980359800291804E-3</v>
      </c>
      <c r="AJ324" s="5">
        <v>0.50531132797707001</v>
      </c>
      <c r="AK324" s="5">
        <v>-0.20758055762632499</v>
      </c>
      <c r="AL324" s="5">
        <v>0.19461826664526399</v>
      </c>
      <c r="AM324" s="5">
        <v>-1.4083742688337401E-2</v>
      </c>
      <c r="AN324" s="5">
        <v>0.17821703454756499</v>
      </c>
      <c r="AO324" s="5">
        <v>-0.13465578634645101</v>
      </c>
      <c r="AP324" s="5">
        <v>-0.115834596613549</v>
      </c>
      <c r="AQ324" s="5">
        <v>0.103421446022087</v>
      </c>
      <c r="AR324" s="5">
        <v>0.477522209150682</v>
      </c>
      <c r="AS324" s="5">
        <v>-0.26326252556742102</v>
      </c>
      <c r="AT324" s="5">
        <v>2.5258038593930901E-2</v>
      </c>
      <c r="AU324" s="5">
        <v>0.17721071609035</v>
      </c>
      <c r="AV324" s="5">
        <v>0.43606206476930798</v>
      </c>
      <c r="AW324" s="5">
        <v>-0.168732556948648</v>
      </c>
      <c r="AX324" s="5">
        <v>0.57974022404306602</v>
      </c>
      <c r="AY324" s="5">
        <v>-0.381570962736756</v>
      </c>
      <c r="AZ324" s="5">
        <v>0.57840934197070004</v>
      </c>
      <c r="BA324" s="5">
        <v>-0.39449963332809801</v>
      </c>
      <c r="BB324" s="5">
        <v>0.60634425687326898</v>
      </c>
      <c r="BC324" s="5">
        <v>-0.37900430848588301</v>
      </c>
      <c r="BD324" s="5">
        <v>3.5266768177763197E-2</v>
      </c>
      <c r="BE324" s="5">
        <v>0.250645784553443</v>
      </c>
      <c r="BF324" s="5">
        <v>0.50983828789964003</v>
      </c>
      <c r="BG324" s="5">
        <v>-0.30987274772286599</v>
      </c>
      <c r="BH324" s="5">
        <v>0.71738789308099205</v>
      </c>
      <c r="BI324" s="5">
        <v>-0.49326573177975602</v>
      </c>
      <c r="BJ324" s="5">
        <v>-0.25143330443471101</v>
      </c>
      <c r="BK324" s="5">
        <v>0.17690804649049699</v>
      </c>
      <c r="BL324" s="5">
        <v>0.148662618003915</v>
      </c>
      <c r="BM324" s="5">
        <v>-0.21910788838854001</v>
      </c>
      <c r="BN324" s="5">
        <v>-0.161414192701019</v>
      </c>
      <c r="BO324" s="5">
        <v>0.28667413696083099</v>
      </c>
      <c r="BP324" s="5">
        <v>-0.20484694323463401</v>
      </c>
      <c r="BQ324" s="5">
        <v>0.365194490754704</v>
      </c>
      <c r="BR324" s="5">
        <v>0.59616280053605897</v>
      </c>
      <c r="BS324" s="5">
        <v>-0.40854654689467002</v>
      </c>
      <c r="BT324" s="5">
        <v>0.63812735066123005</v>
      </c>
      <c r="BU324" s="5">
        <v>-0.426896064298734</v>
      </c>
      <c r="BV324" s="5">
        <v>0.65599885081716602</v>
      </c>
      <c r="BW324" s="5">
        <v>-0.42624283150576198</v>
      </c>
      <c r="BX324" s="5">
        <v>0.55639638235943201</v>
      </c>
      <c r="BY324" s="5">
        <v>-0.35449170906088301</v>
      </c>
      <c r="BZ324" s="5">
        <v>0.60196783275927501</v>
      </c>
      <c r="CA324" s="5">
        <v>-0.41663891281042198</v>
      </c>
      <c r="CB324" s="5">
        <v>0.21012131473242601</v>
      </c>
      <c r="CC324" s="5">
        <v>-4.8819186742684602E-2</v>
      </c>
      <c r="CD324" s="5">
        <v>0.398380253259495</v>
      </c>
      <c r="CE324" s="5">
        <v>-0.23802791514871799</v>
      </c>
      <c r="CF324" s="5">
        <v>0.52362100755463503</v>
      </c>
      <c r="CG324" s="5">
        <v>-0.336057648328632</v>
      </c>
      <c r="CH324" s="5">
        <v>0.228378968438047</v>
      </c>
      <c r="CI324" s="5">
        <v>-7.0669031525012402E-2</v>
      </c>
      <c r="CJ324" s="5">
        <v>3.6300380648302197E-2</v>
      </c>
      <c r="CK324" s="5">
        <v>0.21146195725512201</v>
      </c>
      <c r="CL324" s="5">
        <v>0.138856616636097</v>
      </c>
      <c r="CM324" s="5">
        <v>-0.15094258084516199</v>
      </c>
      <c r="CN324" s="5">
        <v>8.5523229542318002E-2</v>
      </c>
      <c r="CO324" s="5">
        <v>-6.1849477565370403E-2</v>
      </c>
      <c r="CP324" s="5">
        <v>0.53167276195778701</v>
      </c>
      <c r="CQ324" s="5">
        <v>-0.31923380767824799</v>
      </c>
      <c r="CR324" s="5">
        <v>0.50669686607765296</v>
      </c>
      <c r="CS324" s="5">
        <v>-0.31388402917503</v>
      </c>
      <c r="CT324" s="5">
        <v>3.7735317052080199E-2</v>
      </c>
      <c r="CU324" s="5">
        <v>-3.7913015145147E-2</v>
      </c>
      <c r="CV324" s="5">
        <v>0.43477027849628702</v>
      </c>
      <c r="CW324" s="5">
        <v>-0.22210769674869901</v>
      </c>
      <c r="CX324" s="5">
        <v>0.338456894699176</v>
      </c>
      <c r="CY324" s="5">
        <v>-3.4727306642059599E-2</v>
      </c>
      <c r="CZ324" s="5">
        <v>0.57920081841091098</v>
      </c>
      <c r="DA324" s="5">
        <v>-0.41333458791074001</v>
      </c>
      <c r="DB324" s="5">
        <v>0.22843486836865301</v>
      </c>
      <c r="DC324" s="5">
        <v>0.21322981152652101</v>
      </c>
      <c r="DD324" s="5">
        <v>0.49650055695692602</v>
      </c>
      <c r="DE324" s="5">
        <v>-0.225465078021342</v>
      </c>
      <c r="DF324" s="5">
        <v>0.56248315378874103</v>
      </c>
      <c r="DG324" s="5">
        <v>-0.34793100741205801</v>
      </c>
      <c r="DH324" s="5">
        <v>0.28824458700490302</v>
      </c>
      <c r="DI324" s="5">
        <v>-8.7534036049448996E-2</v>
      </c>
      <c r="DJ324" s="5">
        <v>-0.183819282209816</v>
      </c>
      <c r="DK324" s="5">
        <v>0.14766806540601099</v>
      </c>
      <c r="DL324" s="5">
        <v>0.69176468709044003</v>
      </c>
      <c r="DM324" s="5">
        <v>-0.41583583917590999</v>
      </c>
      <c r="DN324" s="5">
        <v>-0.239178482152584</v>
      </c>
      <c r="DO324" s="5">
        <v>0.14569354057634401</v>
      </c>
      <c r="DP324" s="5">
        <v>0.206953704187465</v>
      </c>
      <c r="DQ324" s="5">
        <v>1.33022183398274E-2</v>
      </c>
      <c r="DR324" s="5">
        <v>0.109375094343879</v>
      </c>
      <c r="DS324" s="5">
        <v>2.2891076967093901E-2</v>
      </c>
      <c r="DT324" s="5">
        <v>0.22879862214444699</v>
      </c>
      <c r="DU324" s="5">
        <v>-7.5298299655015694E-2</v>
      </c>
      <c r="DV324" s="5">
        <v>0.479406443876288</v>
      </c>
      <c r="DW324" s="5">
        <v>-0.308680483512975</v>
      </c>
      <c r="DX324" s="5">
        <v>-0.14495803320341999</v>
      </c>
      <c r="DY324" s="5">
        <v>0.19715026532169999</v>
      </c>
      <c r="DZ324" s="5">
        <v>2.8599222997663098E-2</v>
      </c>
      <c r="EA324" s="5">
        <v>-9.0772163400202402E-2</v>
      </c>
      <c r="EB324" s="5">
        <v>0.62579139807769602</v>
      </c>
      <c r="EC324" s="5">
        <v>-0.39943991447225402</v>
      </c>
      <c r="ED324" s="5">
        <v>0.62854300944465402</v>
      </c>
      <c r="EE324" s="5">
        <v>-0.40855445677596203</v>
      </c>
      <c r="EF324" s="5">
        <v>0.49371985223081499</v>
      </c>
      <c r="EG324" s="5">
        <v>-0.31100696649256099</v>
      </c>
      <c r="EH324" s="5">
        <v>0.65211472336351695</v>
      </c>
      <c r="EI324" s="5">
        <v>-0.37244453241113301</v>
      </c>
      <c r="EJ324" s="5">
        <v>0.62123307603002398</v>
      </c>
      <c r="EK324" s="5">
        <v>-0.35411446317081202</v>
      </c>
      <c r="EL324" s="5">
        <v>0.65900369880976295</v>
      </c>
      <c r="EM324" s="5">
        <v>-0.46243830218540799</v>
      </c>
      <c r="EN324" s="5">
        <v>0.10151630618711099</v>
      </c>
      <c r="EO324" s="5">
        <v>0.17730369521705999</v>
      </c>
      <c r="EP324" s="5">
        <v>0.597627882769453</v>
      </c>
      <c r="EQ324" s="5">
        <v>-0.40311958098075101</v>
      </c>
      <c r="ER324" s="5">
        <v>0.53186007197803298</v>
      </c>
      <c r="ES324" s="5">
        <v>-0.30576849094170799</v>
      </c>
      <c r="ET324" s="5">
        <v>0.50548624041114598</v>
      </c>
      <c r="EU324" s="5">
        <v>-0.33354387169654998</v>
      </c>
      <c r="EV324" s="5">
        <v>0.531135805824274</v>
      </c>
      <c r="EW324" s="5">
        <v>-0.35427222472333803</v>
      </c>
      <c r="EX324" s="5">
        <v>0.23454711926348501</v>
      </c>
      <c r="EY324" s="5">
        <v>-3.0928259151201901E-2</v>
      </c>
      <c r="EZ324" s="5">
        <v>0.48678132814198999</v>
      </c>
      <c r="FA324" s="5">
        <v>-0.24985687720578001</v>
      </c>
      <c r="FB324" s="5">
        <v>0.204783842857059</v>
      </c>
      <c r="FC324" s="5">
        <v>-6.4915833714275104E-2</v>
      </c>
      <c r="FD324" s="5">
        <v>0.38960250764098098</v>
      </c>
      <c r="FE324" s="5">
        <v>-0.17941796484237199</v>
      </c>
      <c r="FF324" s="5">
        <v>0.161275367941838</v>
      </c>
      <c r="FG324" s="5">
        <v>-5.0696578227169699E-2</v>
      </c>
      <c r="FH324" s="5">
        <v>0.40881357878063002</v>
      </c>
      <c r="FI324" s="5">
        <v>-0.171449804736266</v>
      </c>
      <c r="FJ324" s="5">
        <v>0.43939601888294</v>
      </c>
      <c r="FK324" s="5">
        <v>-0.157350953177751</v>
      </c>
      <c r="FL324" s="5">
        <v>-0.24407487647362799</v>
      </c>
      <c r="FM324" s="5">
        <v>0.32162998932728998</v>
      </c>
      <c r="FN324" s="5">
        <v>0.36846747168250799</v>
      </c>
      <c r="FO324" s="5">
        <v>-5.2137076746457803E-2</v>
      </c>
      <c r="FP324" s="5">
        <v>0.31747567295409201</v>
      </c>
      <c r="FQ324" s="5">
        <v>6.5749516658359999E-2</v>
      </c>
      <c r="FR324" s="5">
        <v>-0.18648397321843299</v>
      </c>
      <c r="FS324" s="5">
        <v>0.147322153116663</v>
      </c>
      <c r="FT324" s="5">
        <v>0.17150160660219399</v>
      </c>
      <c r="FU324" s="5">
        <v>0.24666256958258501</v>
      </c>
      <c r="FV324" s="5">
        <v>0.18934804375505401</v>
      </c>
      <c r="FW324" s="5">
        <v>3.2993656653894698E-2</v>
      </c>
      <c r="FX324" s="5">
        <v>0.43961902915082002</v>
      </c>
      <c r="FY324" s="5">
        <v>-0.244220575089756</v>
      </c>
      <c r="FZ324" s="5">
        <v>0.27196606477364099</v>
      </c>
      <c r="GA324" s="5">
        <v>0.163635884723762</v>
      </c>
      <c r="GB324" s="5">
        <v>0.102242781551898</v>
      </c>
      <c r="GC324" s="5">
        <v>9.0895494823419298E-2</v>
      </c>
      <c r="GD324" s="5">
        <v>-0.30414115162323502</v>
      </c>
      <c r="GE324" s="5">
        <v>0.34207068156890502</v>
      </c>
      <c r="GF324" s="5">
        <v>0.61460100795759498</v>
      </c>
      <c r="GG324" s="5">
        <v>-0.40684930436677302</v>
      </c>
      <c r="GH324" s="5">
        <v>-0.38241006387441601</v>
      </c>
      <c r="GI324" s="5">
        <v>0.36713671801447001</v>
      </c>
      <c r="GJ324" s="5">
        <v>0.48053776117514901</v>
      </c>
      <c r="GK324" s="5">
        <v>-0.32898973991937203</v>
      </c>
      <c r="GL324" s="5">
        <v>0.49743517274865801</v>
      </c>
      <c r="GM324" s="5">
        <v>-0.306028319668813</v>
      </c>
      <c r="GN324" s="5">
        <v>0.12698594297205701</v>
      </c>
      <c r="GO324" s="5">
        <v>9.2443108477806901E-2</v>
      </c>
      <c r="GP324" s="5">
        <v>0.40724138928964299</v>
      </c>
      <c r="GQ324" s="5">
        <v>-4.8821215073462501E-2</v>
      </c>
      <c r="GR324" s="5">
        <v>0.467745129756857</v>
      </c>
      <c r="GS324" s="5">
        <v>-0.29229948425387098</v>
      </c>
      <c r="GT324" s="5">
        <v>0.153161745958176</v>
      </c>
      <c r="GU324" s="5">
        <v>0.22321558698061</v>
      </c>
      <c r="GV324" s="5">
        <v>0.56642526517700897</v>
      </c>
      <c r="GW324" s="5">
        <v>-0.45632838302480999</v>
      </c>
      <c r="GX324" s="5">
        <v>0.21719798460159501</v>
      </c>
      <c r="GY324" s="5">
        <v>0.12850867917823899</v>
      </c>
      <c r="GZ324" s="5">
        <v>0.14743651403573699</v>
      </c>
      <c r="HA324" s="5">
        <v>-0.210668896058609</v>
      </c>
      <c r="HB324" s="5">
        <v>0.63970917395682803</v>
      </c>
      <c r="HC324" s="5">
        <v>-0.49783464847658898</v>
      </c>
      <c r="HD324" s="5">
        <v>0.110717972635775</v>
      </c>
      <c r="HE324" s="5">
        <v>0.16940806506678799</v>
      </c>
      <c r="HF324" s="5">
        <v>-0.120910000414749</v>
      </c>
      <c r="HG324" s="5">
        <v>0.108378492714007</v>
      </c>
      <c r="HH324" s="5">
        <v>7.7602528603030199E-2</v>
      </c>
      <c r="HI324" s="5">
        <v>-4.0291695599668699E-2</v>
      </c>
      <c r="HJ324" s="5">
        <v>-0.14216574207575999</v>
      </c>
      <c r="HK324" s="5">
        <v>0.113825630941365</v>
      </c>
      <c r="HL324" s="5">
        <v>0.46755552372744202</v>
      </c>
      <c r="HM324" s="5">
        <v>-0.255379650672799</v>
      </c>
      <c r="HN324" s="5">
        <v>8.45280977369334E-2</v>
      </c>
      <c r="HO324" s="5">
        <v>1.7300967690312401E-2</v>
      </c>
      <c r="HP324" s="5">
        <v>0.20883050679036699</v>
      </c>
      <c r="HQ324" s="5">
        <v>9.7942489917658596E-2</v>
      </c>
      <c r="HR324" s="5">
        <v>0.48585267163892099</v>
      </c>
      <c r="HS324" s="5">
        <v>-0.22706974358839699</v>
      </c>
      <c r="HT324" s="5">
        <v>0.15134338893421501</v>
      </c>
      <c r="HU324" s="5">
        <v>-3.35061118785666E-2</v>
      </c>
      <c r="HV324" s="5">
        <v>0.38942419611679402</v>
      </c>
      <c r="HW324" s="5">
        <v>-0.123718955458997</v>
      </c>
      <c r="HX324" s="5">
        <v>0.39687601167594799</v>
      </c>
      <c r="HY324" s="5">
        <v>-0.16246442196734201</v>
      </c>
      <c r="HZ324" s="5">
        <v>0.133339289066811</v>
      </c>
      <c r="IA324" s="5">
        <v>-0.126225076042737</v>
      </c>
      <c r="IB324" s="5">
        <v>-0.33499403020274798</v>
      </c>
      <c r="IC324" s="5">
        <v>0.32920360437249302</v>
      </c>
      <c r="ID324" s="5">
        <v>0.53839706699338297</v>
      </c>
      <c r="IE324" s="5">
        <v>-0.32002717046275603</v>
      </c>
      <c r="IF324" s="5">
        <v>0.48473806222257299</v>
      </c>
      <c r="IG324" s="5">
        <v>-0.212391201250129</v>
      </c>
      <c r="IH324" s="5">
        <v>0.54376198841607903</v>
      </c>
      <c r="II324" s="5">
        <v>-0.3524548413702</v>
      </c>
      <c r="IJ324" s="5">
        <v>0.17314851404627399</v>
      </c>
      <c r="IK324" s="5">
        <v>-4.25557946543801E-2</v>
      </c>
      <c r="IL324" s="5">
        <v>0.56287781511799195</v>
      </c>
      <c r="IM324" s="5">
        <v>-0.34642389921472999</v>
      </c>
      <c r="IN324" s="5">
        <v>0.54381012117871597</v>
      </c>
      <c r="IO324" s="5">
        <v>-0.34320909598674898</v>
      </c>
      <c r="IP324" s="5">
        <v>0.57714942632619404</v>
      </c>
      <c r="IQ324" s="5">
        <v>-0.35230850396380198</v>
      </c>
      <c r="IR324" s="5">
        <v>0.122458425531315</v>
      </c>
      <c r="IS324" s="5">
        <v>4.9199689461492897E-2</v>
      </c>
      <c r="IT324" s="5">
        <v>0.363590719873226</v>
      </c>
      <c r="IU324" s="5">
        <v>-7.4431603239954E-2</v>
      </c>
      <c r="IV324" s="5">
        <v>0.53279396416626101</v>
      </c>
      <c r="IW324" s="5">
        <v>-0.33734035945727903</v>
      </c>
      <c r="IX324" s="5">
        <v>0.50954938938338801</v>
      </c>
      <c r="IY324" s="5">
        <v>-0.31160221620707301</v>
      </c>
      <c r="IZ324" s="5">
        <v>8.6284507485900594E-2</v>
      </c>
      <c r="JA324" s="5">
        <v>-3.7699977656502598E-2</v>
      </c>
      <c r="JB324" s="5">
        <v>-0.117414631370266</v>
      </c>
      <c r="JC324" s="5">
        <v>5.2147996428956499E-3</v>
      </c>
      <c r="JD324" s="5">
        <v>0.17391537917989</v>
      </c>
      <c r="JE324" s="5">
        <v>0.11691838915314701</v>
      </c>
      <c r="JF324" s="5">
        <v>0.24780307702979301</v>
      </c>
      <c r="JG324" s="5">
        <v>-0.120984614971212</v>
      </c>
      <c r="JH324" s="5">
        <v>0.10784193067270199</v>
      </c>
      <c r="JI324" s="5">
        <v>-7.5110666506666299E-2</v>
      </c>
      <c r="JJ324" s="5">
        <v>0.64921300582635499</v>
      </c>
      <c r="JK324" s="5">
        <v>-0.35999606273235302</v>
      </c>
      <c r="JL324" s="5">
        <v>0.52852502156204195</v>
      </c>
      <c r="JM324" s="5">
        <v>-0.25605317813536599</v>
      </c>
      <c r="JN324" s="5">
        <v>0.57720124161794295</v>
      </c>
      <c r="JO324" s="5">
        <v>-0.40511634851151601</v>
      </c>
      <c r="JP324" s="5">
        <v>0.50969980864714204</v>
      </c>
      <c r="JQ324" s="5">
        <v>-0.27062395063608502</v>
      </c>
      <c r="JR324" s="5">
        <v>0.17594556120274699</v>
      </c>
      <c r="JS324" s="5">
        <v>0.16695778957624899</v>
      </c>
      <c r="JT324" s="5">
        <v>-3.4052449699197997E-2</v>
      </c>
      <c r="JU324" s="5">
        <v>0.29487686629715198</v>
      </c>
      <c r="JV324" s="5">
        <v>0.43879508471836898</v>
      </c>
      <c r="JW324" s="5">
        <v>-0.20725908490140399</v>
      </c>
      <c r="JX324" s="5">
        <v>3.6729631329573298E-2</v>
      </c>
      <c r="JY324" s="5">
        <v>-2.3013791845969599E-2</v>
      </c>
      <c r="JZ324" s="5">
        <v>0.44949553433649297</v>
      </c>
      <c r="KA324" s="5">
        <v>-0.240010992375295</v>
      </c>
      <c r="KB324" s="5">
        <v>-8.9511692264766199E-2</v>
      </c>
      <c r="KC324" s="5">
        <v>9.2136531397425406E-2</v>
      </c>
      <c r="KD324" s="5">
        <v>0.407987837480003</v>
      </c>
      <c r="KE324" s="5">
        <v>-0.241632559331449</v>
      </c>
      <c r="KF324" s="5">
        <v>0.32165608484967201</v>
      </c>
      <c r="KG324" s="5">
        <v>-9.6481089837248402E-2</v>
      </c>
      <c r="KH324" s="5">
        <v>0.14313401546666801</v>
      </c>
      <c r="KI324" s="5">
        <v>0.26222108579086401</v>
      </c>
      <c r="KJ324" s="5">
        <v>0.54881270875633903</v>
      </c>
      <c r="KK324" s="5">
        <v>-0.26093678189550201</v>
      </c>
      <c r="KL324" s="5">
        <v>0.17062209212334301</v>
      </c>
      <c r="KM324" s="5">
        <v>2.2702365525935599E-2</v>
      </c>
      <c r="KN324" s="5">
        <v>9.2108267422454704E-2</v>
      </c>
      <c r="KO324" s="5">
        <v>-3.7337497587905298E-2</v>
      </c>
      <c r="KP324" s="5">
        <v>-0.32176019655891203</v>
      </c>
      <c r="KQ324" s="5">
        <v>0.25288023165839002</v>
      </c>
      <c r="KR324" s="5">
        <v>0.61840906451682398</v>
      </c>
      <c r="KS324" s="5">
        <v>-0.412208287151485</v>
      </c>
      <c r="KT324" s="5">
        <v>0.54732207823989998</v>
      </c>
      <c r="KU324" s="5">
        <v>-0.24953062952576399</v>
      </c>
      <c r="KV324" s="5">
        <v>0.614594163218667</v>
      </c>
      <c r="KW324" s="5">
        <v>-0.32281186050967398</v>
      </c>
      <c r="KX324" s="5">
        <v>0.59483191071638897</v>
      </c>
      <c r="KY324" s="5">
        <v>-0.31077126658139498</v>
      </c>
      <c r="KZ324" s="5">
        <v>0.29367690556694898</v>
      </c>
      <c r="LA324" s="5">
        <v>-0.186454091991718</v>
      </c>
      <c r="LB324" s="5">
        <v>0.73584431361162395</v>
      </c>
      <c r="LC324" s="5">
        <v>-0.54214622009855795</v>
      </c>
      <c r="LD324" s="5">
        <v>0.435832384738296</v>
      </c>
      <c r="LE324" s="5">
        <v>-0.215749145976635</v>
      </c>
      <c r="LF324" s="5">
        <v>0.17892178756090399</v>
      </c>
      <c r="LG324" s="5">
        <v>-3.9904280467825001E-2</v>
      </c>
      <c r="LH324" s="5">
        <v>0.59746219275504997</v>
      </c>
      <c r="LI324" s="5">
        <v>-0.350961367511683</v>
      </c>
      <c r="LJ324" s="5">
        <v>0.17268812227685801</v>
      </c>
      <c r="LK324" s="5">
        <v>-3.5158121507924397E-2</v>
      </c>
      <c r="LL324" s="5">
        <v>1</v>
      </c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</row>
    <row r="325" spans="1:389" x14ac:dyDescent="0.45">
      <c r="A325" s="4" t="str">
        <f ca="1">"SSD / beta2dist in "&amp;CELL("address",'damages-1990'!$K$163)</f>
        <v>SSD / beta2dist in '[BHM betas v3pd.xlsx]damages-1990'!$K$163</v>
      </c>
      <c r="B325" s="6">
        <v>-0.11451475379541801</v>
      </c>
      <c r="C325" s="5">
        <v>0.22137724258448699</v>
      </c>
      <c r="D325" s="5">
        <v>-0.35887117335110602</v>
      </c>
      <c r="E325" s="5">
        <v>0.61731178642881201</v>
      </c>
      <c r="F325" s="5">
        <v>-6.9314876930284694E-2</v>
      </c>
      <c r="G325" s="5">
        <v>7.8045957355734996E-2</v>
      </c>
      <c r="H325" s="5">
        <v>0.112602048500504</v>
      </c>
      <c r="I325" s="5">
        <v>-0.18106194080549801</v>
      </c>
      <c r="J325" s="5">
        <v>-0.36102031817129598</v>
      </c>
      <c r="K325" s="5">
        <v>0.52672198603197395</v>
      </c>
      <c r="L325" s="5">
        <v>-3.39110058767121E-2</v>
      </c>
      <c r="M325" s="5">
        <v>6.7107496937104605E-2</v>
      </c>
      <c r="N325" s="5">
        <v>-6.2256965597416301E-2</v>
      </c>
      <c r="O325" s="5">
        <v>9.5484931820625799E-2</v>
      </c>
      <c r="P325" s="5">
        <v>-0.44859573503692801</v>
      </c>
      <c r="Q325" s="5">
        <v>0.53555564575402703</v>
      </c>
      <c r="R325" s="5">
        <v>-0.215383928479318</v>
      </c>
      <c r="S325" s="5">
        <v>0.44683496686360302</v>
      </c>
      <c r="T325" s="5">
        <v>-0.24569177176749901</v>
      </c>
      <c r="U325" s="5">
        <v>0.28208316451905402</v>
      </c>
      <c r="V325" s="5">
        <v>4.51224830350919E-2</v>
      </c>
      <c r="W325" s="5">
        <v>-9.4807762793926803E-2</v>
      </c>
      <c r="X325" s="5">
        <v>-0.37254848294842902</v>
      </c>
      <c r="Y325" s="5">
        <v>0.588393106467065</v>
      </c>
      <c r="Z325" s="5">
        <v>-7.1841582687666494E-2</v>
      </c>
      <c r="AA325" s="5">
        <v>8.1415302156616895E-2</v>
      </c>
      <c r="AB325" s="5">
        <v>-0.31584997707326301</v>
      </c>
      <c r="AC325" s="5">
        <v>0.56485515293985999</v>
      </c>
      <c r="AD325" s="5">
        <v>-0.32343691388465101</v>
      </c>
      <c r="AE325" s="5">
        <v>0.53836635946668998</v>
      </c>
      <c r="AF325" s="5">
        <v>-6.2244092122542297E-2</v>
      </c>
      <c r="AG325" s="5">
        <v>0.25208756809775701</v>
      </c>
      <c r="AH325" s="5">
        <v>-8.1292518662575294E-2</v>
      </c>
      <c r="AI325" s="5">
        <v>0.10071754072941599</v>
      </c>
      <c r="AJ325" s="5">
        <v>-0.30817526864769201</v>
      </c>
      <c r="AK325" s="5">
        <v>0.40343711157030099</v>
      </c>
      <c r="AL325" s="5">
        <v>0.149368095466791</v>
      </c>
      <c r="AM325" s="5">
        <v>-0.129717813043189</v>
      </c>
      <c r="AN325" s="5">
        <v>-0.203784190617748</v>
      </c>
      <c r="AO325" s="5">
        <v>0.24609287128083701</v>
      </c>
      <c r="AP325" s="5">
        <v>-4.5015232462373302E-2</v>
      </c>
      <c r="AQ325" s="5">
        <v>7.1584968453855702E-2</v>
      </c>
      <c r="AR325" s="5">
        <v>-0.200797945227431</v>
      </c>
      <c r="AS325" s="5">
        <v>0.34279797463424</v>
      </c>
      <c r="AT325" s="5">
        <v>0.26905557926158002</v>
      </c>
      <c r="AU325" s="5">
        <v>-0.28434723379878102</v>
      </c>
      <c r="AV325" s="5">
        <v>-0.133134385398259</v>
      </c>
      <c r="AW325" s="5">
        <v>0.34863582379373798</v>
      </c>
      <c r="AX325" s="5">
        <v>-0.29386133575839202</v>
      </c>
      <c r="AY325" s="5">
        <v>0.57281755025160197</v>
      </c>
      <c r="AZ325" s="5">
        <v>-0.54006250550721202</v>
      </c>
      <c r="BA325" s="5">
        <v>0.626865948992119</v>
      </c>
      <c r="BB325" s="5">
        <v>-0.30544800533258198</v>
      </c>
      <c r="BC325" s="5">
        <v>0.55445586899981203</v>
      </c>
      <c r="BD325" s="5">
        <v>-1.9401465356217899E-2</v>
      </c>
      <c r="BE325" s="5">
        <v>5.6868591410551103E-2</v>
      </c>
      <c r="BF325" s="5">
        <v>-0.28131987611353299</v>
      </c>
      <c r="BG325" s="5">
        <v>0.46156478284041003</v>
      </c>
      <c r="BH325" s="5">
        <v>-0.45066905140089403</v>
      </c>
      <c r="BI325" s="5">
        <v>0.73173042182847503</v>
      </c>
      <c r="BJ325" s="5">
        <v>3.8532370016348703E-2</v>
      </c>
      <c r="BK325" s="5">
        <v>-0.185053710967026</v>
      </c>
      <c r="BL325" s="5">
        <v>-0.25532587259123701</v>
      </c>
      <c r="BM325" s="5">
        <v>0.27641226146004599</v>
      </c>
      <c r="BN325" s="5">
        <v>0.11284723209887799</v>
      </c>
      <c r="BO325" s="5">
        <v>-0.230783022122307</v>
      </c>
      <c r="BP325" s="5">
        <v>0.134065007633834</v>
      </c>
      <c r="BQ325" s="5">
        <v>-0.31538716706763498</v>
      </c>
      <c r="BR325" s="5">
        <v>-0.450415371342547</v>
      </c>
      <c r="BS325" s="5">
        <v>0.68997294983369195</v>
      </c>
      <c r="BT325" s="5">
        <v>-0.33499964186662001</v>
      </c>
      <c r="BU325" s="5">
        <v>0.64220880036449601</v>
      </c>
      <c r="BV325" s="5">
        <v>-0.39720097543792299</v>
      </c>
      <c r="BW325" s="5">
        <v>0.66639622612131899</v>
      </c>
      <c r="BX325" s="5">
        <v>-0.31673324100248501</v>
      </c>
      <c r="BY325" s="5">
        <v>0.58086166239700898</v>
      </c>
      <c r="BZ325" s="5">
        <v>-0.386697551984377</v>
      </c>
      <c r="CA325" s="5">
        <v>0.64961568444033302</v>
      </c>
      <c r="CB325" s="5">
        <v>5.7698743134196803E-3</v>
      </c>
      <c r="CC325" s="5">
        <v>0.16034958771400701</v>
      </c>
      <c r="CD325" s="5">
        <v>-0.29860018681283801</v>
      </c>
      <c r="CE325" s="5">
        <v>0.40108872572319998</v>
      </c>
      <c r="CF325" s="5">
        <v>-0.40975255153602702</v>
      </c>
      <c r="CG325" s="5">
        <v>0.53700962344040803</v>
      </c>
      <c r="CH325" s="5">
        <v>0.135173501121928</v>
      </c>
      <c r="CI325" s="5">
        <v>-0.101392235907457</v>
      </c>
      <c r="CJ325" s="5">
        <v>0.134478940729266</v>
      </c>
      <c r="CK325" s="5">
        <v>-0.15693856531880501</v>
      </c>
      <c r="CL325" s="5">
        <v>-0.17104325134484699</v>
      </c>
      <c r="CM325" s="5">
        <v>0.203905009278919</v>
      </c>
      <c r="CN325" s="5">
        <v>-0.10278627798626799</v>
      </c>
      <c r="CO325" s="5">
        <v>0.119014515532613</v>
      </c>
      <c r="CP325" s="5">
        <v>-0.52818865385347102</v>
      </c>
      <c r="CQ325" s="5">
        <v>0.64429547910545804</v>
      </c>
      <c r="CR325" s="5">
        <v>-0.47232765063322402</v>
      </c>
      <c r="CS325" s="5">
        <v>0.56763829337096605</v>
      </c>
      <c r="CT325" s="5">
        <v>-7.9335788777510102E-2</v>
      </c>
      <c r="CU325" s="5">
        <v>9.3410564983088196E-2</v>
      </c>
      <c r="CV325" s="5">
        <v>-0.307709656683405</v>
      </c>
      <c r="CW325" s="5">
        <v>0.40300330759071201</v>
      </c>
      <c r="CX325" s="5">
        <v>-0.141353818774272</v>
      </c>
      <c r="CY325" s="5">
        <v>0.26618674419007099</v>
      </c>
      <c r="CZ325" s="5">
        <v>-0.36659480205909001</v>
      </c>
      <c r="DA325" s="5">
        <v>0.59163201483222905</v>
      </c>
      <c r="DB325" s="5">
        <v>1.4625086270869799E-2</v>
      </c>
      <c r="DC325" s="5">
        <v>-4.9904791600903498E-2</v>
      </c>
      <c r="DD325" s="5">
        <v>-0.41662296803318899</v>
      </c>
      <c r="DE325" s="5">
        <v>0.54080054648769604</v>
      </c>
      <c r="DF325" s="5">
        <v>-0.41962264591263099</v>
      </c>
      <c r="DG325" s="5">
        <v>0.58085901265242301</v>
      </c>
      <c r="DH325" s="5">
        <v>-0.19629624797199199</v>
      </c>
      <c r="DI325" s="5">
        <v>0.32226409649874699</v>
      </c>
      <c r="DJ325" s="5">
        <v>1.0645380240425601E-2</v>
      </c>
      <c r="DK325" s="5">
        <v>9.5755673436485906E-3</v>
      </c>
      <c r="DL325" s="5">
        <v>-0.49272960665259802</v>
      </c>
      <c r="DM325" s="5">
        <v>0.70046324825439998</v>
      </c>
      <c r="DN325" s="5">
        <v>3.4264031160035499E-2</v>
      </c>
      <c r="DO325" s="5">
        <v>-1.5351338992576E-2</v>
      </c>
      <c r="DP325" s="5">
        <v>0.155949598033124</v>
      </c>
      <c r="DQ325" s="5">
        <v>-0.10681763319212</v>
      </c>
      <c r="DR325" s="5">
        <v>-7.1134442169149506E-2</v>
      </c>
      <c r="DS325" s="5">
        <v>9.8401358384793802E-2</v>
      </c>
      <c r="DT325" s="5">
        <v>-0.236670113638664</v>
      </c>
      <c r="DU325" s="5">
        <v>0.29284190894758499</v>
      </c>
      <c r="DV325" s="5">
        <v>-0.293429571342462</v>
      </c>
      <c r="DW325" s="5">
        <v>0.51334609875028303</v>
      </c>
      <c r="DX325" s="5">
        <v>6.5063563133333405E-2</v>
      </c>
      <c r="DY325" s="5">
        <v>-7.8274370293768394E-2</v>
      </c>
      <c r="DZ325" s="5">
        <v>-8.8578753862972801E-2</v>
      </c>
      <c r="EA325" s="5">
        <v>0.16353297607172501</v>
      </c>
      <c r="EB325" s="5">
        <v>-0.44549414326480702</v>
      </c>
      <c r="EC325" s="5">
        <v>0.65839067976584698</v>
      </c>
      <c r="ED325" s="5">
        <v>-0.43829744286011502</v>
      </c>
      <c r="EE325" s="5">
        <v>0.68210871711897103</v>
      </c>
      <c r="EF325" s="5">
        <v>-0.48307628057301799</v>
      </c>
      <c r="EG325" s="5">
        <v>0.56392259742332695</v>
      </c>
      <c r="EH325" s="5">
        <v>-0.43497017215647399</v>
      </c>
      <c r="EI325" s="5">
        <v>0.62262726227472698</v>
      </c>
      <c r="EJ325" s="5">
        <v>-0.40837591744794599</v>
      </c>
      <c r="EK325" s="5">
        <v>0.61133451690698404</v>
      </c>
      <c r="EL325" s="5">
        <v>-0.394422513907838</v>
      </c>
      <c r="EM325" s="5">
        <v>0.64506929803152002</v>
      </c>
      <c r="EN325" s="5">
        <v>9.6438229869510395E-2</v>
      </c>
      <c r="EO325" s="5">
        <v>-0.15083639111459299</v>
      </c>
      <c r="EP325" s="5">
        <v>-0.54494987161305397</v>
      </c>
      <c r="EQ325" s="5">
        <v>0.63052257402552903</v>
      </c>
      <c r="ER325" s="5">
        <v>-0.264132127001175</v>
      </c>
      <c r="ES325" s="5">
        <v>0.44235082332953302</v>
      </c>
      <c r="ET325" s="5">
        <v>-0.24714317856380499</v>
      </c>
      <c r="EU325" s="5">
        <v>0.46157942512105998</v>
      </c>
      <c r="EV325" s="5">
        <v>-0.35572318075678699</v>
      </c>
      <c r="EW325" s="5">
        <v>0.573421955248963</v>
      </c>
      <c r="EX325" s="5">
        <v>2.7313356005198498E-2</v>
      </c>
      <c r="EY325" s="5">
        <v>0.1071507987238</v>
      </c>
      <c r="EZ325" s="5">
        <v>-0.23975765248830699</v>
      </c>
      <c r="FA325" s="5">
        <v>0.427377823306478</v>
      </c>
      <c r="FB325" s="5">
        <v>-0.14560107349236101</v>
      </c>
      <c r="FC325" s="5">
        <v>0.18082655421730301</v>
      </c>
      <c r="FD325" s="5">
        <v>-0.16696560025764001</v>
      </c>
      <c r="FE325" s="5">
        <v>0.28529077400918301</v>
      </c>
      <c r="FF325" s="5">
        <v>-0.112115908086809</v>
      </c>
      <c r="FG325" s="5">
        <v>0.132187307614056</v>
      </c>
      <c r="FH325" s="5">
        <v>3.1583235765872901E-2</v>
      </c>
      <c r="FI325" s="5">
        <v>0.106126229338999</v>
      </c>
      <c r="FJ325" s="5">
        <v>-0.24133875547962</v>
      </c>
      <c r="FK325" s="5">
        <v>0.41636281008714898</v>
      </c>
      <c r="FL325" s="5">
        <v>0.19887624171486801</v>
      </c>
      <c r="FM325" s="5">
        <v>-0.229029648526277</v>
      </c>
      <c r="FN325" s="5">
        <v>-0.178468910041266</v>
      </c>
      <c r="FO325" s="5">
        <v>0.25221525650803001</v>
      </c>
      <c r="FP325" s="5">
        <v>-7.87442185254668E-2</v>
      </c>
      <c r="FQ325" s="5">
        <v>5.8688371958338502E-2</v>
      </c>
      <c r="FR325" s="5">
        <v>0.24701117311846399</v>
      </c>
      <c r="FS325" s="5">
        <v>-0.231431660347</v>
      </c>
      <c r="FT325" s="5">
        <v>3.3378791573915302E-2</v>
      </c>
      <c r="FU325" s="5">
        <v>-6.8265440404533001E-2</v>
      </c>
      <c r="FV325" s="5">
        <v>-6.8731358406548496E-2</v>
      </c>
      <c r="FW325" s="5">
        <v>0.10971542980884599</v>
      </c>
      <c r="FX325" s="5">
        <v>-0.22811961106162701</v>
      </c>
      <c r="FY325" s="5">
        <v>0.33647390140255501</v>
      </c>
      <c r="FZ325" s="5">
        <v>-3.5650621441493703E-2</v>
      </c>
      <c r="GA325" s="5">
        <v>1.52994673718041E-2</v>
      </c>
      <c r="GB325" s="5">
        <v>-7.2622175373824899E-2</v>
      </c>
      <c r="GC325" s="5">
        <v>0.108161985098905</v>
      </c>
      <c r="GD325" s="5">
        <v>0.188872578801558</v>
      </c>
      <c r="GE325" s="5">
        <v>-0.22414967369403799</v>
      </c>
      <c r="GF325" s="5">
        <v>-0.37358501691342899</v>
      </c>
      <c r="GG325" s="5">
        <v>0.65240086140382603</v>
      </c>
      <c r="GH325" s="5">
        <v>0.38641152008042701</v>
      </c>
      <c r="GI325" s="5">
        <v>-0.55483555480430302</v>
      </c>
      <c r="GJ325" s="5">
        <v>-0.16429840950069</v>
      </c>
      <c r="GK325" s="5">
        <v>0.376011288489078</v>
      </c>
      <c r="GL325" s="5">
        <v>-0.48912919927884202</v>
      </c>
      <c r="GM325" s="5">
        <v>0.54805321131804796</v>
      </c>
      <c r="GN325" s="5">
        <v>-5.6112098580019601E-2</v>
      </c>
      <c r="GO325" s="5">
        <v>9.8709546069493101E-2</v>
      </c>
      <c r="GP325" s="5">
        <v>-0.193977482268264</v>
      </c>
      <c r="GQ325" s="5">
        <v>0.22539725466077701</v>
      </c>
      <c r="GR325" s="5">
        <v>-0.18691586354929701</v>
      </c>
      <c r="GS325" s="5">
        <v>0.38770125665782801</v>
      </c>
      <c r="GT325" s="5">
        <v>1.8536569735896E-2</v>
      </c>
      <c r="GU325" s="5">
        <v>-8.8334247884190406E-2</v>
      </c>
      <c r="GV325" s="5">
        <v>-0.35044392937926799</v>
      </c>
      <c r="GW325" s="5">
        <v>0.64449211258190198</v>
      </c>
      <c r="GX325" s="5">
        <v>2.2772923364185502E-2</v>
      </c>
      <c r="GY325" s="5">
        <v>-1.30577820990928E-2</v>
      </c>
      <c r="GZ325" s="5">
        <v>-0.25150869391261099</v>
      </c>
      <c r="HA325" s="5">
        <v>0.26804562771384899</v>
      </c>
      <c r="HB325" s="5">
        <v>-0.35987016634686603</v>
      </c>
      <c r="HC325" s="5">
        <v>0.64684892538318295</v>
      </c>
      <c r="HD325" s="5">
        <v>-7.6755492484648899E-2</v>
      </c>
      <c r="HE325" s="5">
        <v>0.16121899014108401</v>
      </c>
      <c r="HF325" s="5">
        <v>-1.4472365551127899E-2</v>
      </c>
      <c r="HG325" s="5">
        <v>2.9700498126560799E-2</v>
      </c>
      <c r="HH325" s="5">
        <v>-9.1410243831632002E-2</v>
      </c>
      <c r="HI325" s="5">
        <v>0.105977345117428</v>
      </c>
      <c r="HJ325" s="5">
        <v>-7.6552077632349299E-3</v>
      </c>
      <c r="HK325" s="5">
        <v>2.6131999938132498E-2</v>
      </c>
      <c r="HL325" s="5">
        <v>-0.33676055842168301</v>
      </c>
      <c r="HM325" s="5">
        <v>0.54125553327558795</v>
      </c>
      <c r="HN325" s="5">
        <v>-6.6110114445553397E-2</v>
      </c>
      <c r="HO325" s="5">
        <v>8.7710358495752899E-2</v>
      </c>
      <c r="HP325" s="5">
        <v>0.21007436867950399</v>
      </c>
      <c r="HQ325" s="5">
        <v>-6.2559910751472297E-2</v>
      </c>
      <c r="HR325" s="5">
        <v>-0.166645160932793</v>
      </c>
      <c r="HS325" s="5">
        <v>0.34511881232166403</v>
      </c>
      <c r="HT325" s="5">
        <v>-0.12617990473773599</v>
      </c>
      <c r="HU325" s="5">
        <v>0.16312156825216201</v>
      </c>
      <c r="HV325" s="5">
        <v>-0.17378810865077601</v>
      </c>
      <c r="HW325" s="5">
        <v>0.35289985741028801</v>
      </c>
      <c r="HX325" s="5">
        <v>-0.14174577548261499</v>
      </c>
      <c r="HY325" s="5">
        <v>0.38500393291725299</v>
      </c>
      <c r="HZ325" s="5">
        <v>-0.18388992094308201</v>
      </c>
      <c r="IA325" s="5">
        <v>0.22713744147631801</v>
      </c>
      <c r="IB325" s="5">
        <v>0.28248919369122999</v>
      </c>
      <c r="IC325" s="5">
        <v>-0.377789800421586</v>
      </c>
      <c r="ID325" s="5">
        <v>-0.132488295465434</v>
      </c>
      <c r="IE325" s="5">
        <v>0.36780673575862599</v>
      </c>
      <c r="IF325" s="5">
        <v>-0.26815044135988297</v>
      </c>
      <c r="IG325" s="5">
        <v>0.46079692954958601</v>
      </c>
      <c r="IH325" s="5">
        <v>-0.50010713192624401</v>
      </c>
      <c r="II325" s="5">
        <v>0.59929975444050299</v>
      </c>
      <c r="IJ325" s="5">
        <v>1.1059139278176E-2</v>
      </c>
      <c r="IK325" s="5">
        <v>4.7418781340069799E-2</v>
      </c>
      <c r="IL325" s="5">
        <v>-0.19196527481929701</v>
      </c>
      <c r="IM325" s="5">
        <v>0.42355615007158598</v>
      </c>
      <c r="IN325" s="5">
        <v>-0.18112693979817701</v>
      </c>
      <c r="IO325" s="5">
        <v>0.42956484124101502</v>
      </c>
      <c r="IP325" s="5">
        <v>-0.33820213241163799</v>
      </c>
      <c r="IQ325" s="5">
        <v>0.55956687000973604</v>
      </c>
      <c r="IR325" s="5">
        <v>0.14213033136006401</v>
      </c>
      <c r="IS325" s="5">
        <v>-7.28232385542395E-2</v>
      </c>
      <c r="IT325" s="5">
        <v>-0.103581994001839</v>
      </c>
      <c r="IU325" s="5">
        <v>0.24768496564089701</v>
      </c>
      <c r="IV325" s="5">
        <v>-0.31963616047002402</v>
      </c>
      <c r="IW325" s="5">
        <v>0.55599447539175995</v>
      </c>
      <c r="IX325" s="5">
        <v>-0.32555659533086301</v>
      </c>
      <c r="IY325" s="5">
        <v>0.52891748556767304</v>
      </c>
      <c r="IZ325" s="5">
        <v>-7.9938980926240202E-2</v>
      </c>
      <c r="JA325" s="5">
        <v>8.7995988039646894E-2</v>
      </c>
      <c r="JB325" s="5">
        <v>-9.2928114739045303E-2</v>
      </c>
      <c r="JC325" s="5">
        <v>0.124546059024147</v>
      </c>
      <c r="JD325" s="5">
        <v>-5.6234009383890601E-2</v>
      </c>
      <c r="JE325" s="5">
        <v>0.18308221729413501</v>
      </c>
      <c r="JF325" s="5">
        <v>-0.11288533377781</v>
      </c>
      <c r="JG325" s="5">
        <v>0.22677663230758399</v>
      </c>
      <c r="JH325" s="5">
        <v>-0.121493353876619</v>
      </c>
      <c r="JI325" s="5">
        <v>0.186844511135141</v>
      </c>
      <c r="JJ325" s="5">
        <v>-0.41526271048990798</v>
      </c>
      <c r="JK325" s="5">
        <v>0.630205521233135</v>
      </c>
      <c r="JL325" s="5">
        <v>-0.34418943847223099</v>
      </c>
      <c r="JM325" s="5">
        <v>0.505007925206721</v>
      </c>
      <c r="JN325" s="5">
        <v>-0.41037224458772997</v>
      </c>
      <c r="JO325" s="5">
        <v>0.588594055949621</v>
      </c>
      <c r="JP325" s="5">
        <v>-0.24098076143614899</v>
      </c>
      <c r="JQ325" s="5">
        <v>0.50509319918881801</v>
      </c>
      <c r="JR325" s="5">
        <v>0.18990431912637001</v>
      </c>
      <c r="JS325" s="5">
        <v>-9.0284278093767406E-2</v>
      </c>
      <c r="JT325" s="5">
        <v>0.31514852097351398</v>
      </c>
      <c r="JU325" s="5">
        <v>-0.30632251577893199</v>
      </c>
      <c r="JV325" s="5">
        <v>-5.32985503435894E-2</v>
      </c>
      <c r="JW325" s="5">
        <v>0.26443878739812698</v>
      </c>
      <c r="JX325" s="5">
        <v>-8.6137247579909995E-2</v>
      </c>
      <c r="JY325" s="5">
        <v>0.101205253163451</v>
      </c>
      <c r="JZ325" s="5">
        <v>-0.44944528539832501</v>
      </c>
      <c r="KA325" s="5">
        <v>0.50343684401557298</v>
      </c>
      <c r="KB325" s="5">
        <v>-5.86762881934806E-2</v>
      </c>
      <c r="KC325" s="5">
        <v>3.8801716148747403E-2</v>
      </c>
      <c r="KD325" s="5">
        <v>-0.289202106209551</v>
      </c>
      <c r="KE325" s="5">
        <v>0.40681532813898602</v>
      </c>
      <c r="KF325" s="5">
        <v>8.5182374767860999E-3</v>
      </c>
      <c r="KG325" s="5">
        <v>4.1742533584374797E-2</v>
      </c>
      <c r="KH325" s="5">
        <v>4.91556683922829E-2</v>
      </c>
      <c r="KI325" s="5">
        <v>-8.5659394636246694E-2</v>
      </c>
      <c r="KJ325" s="5">
        <v>-0.33187940230284602</v>
      </c>
      <c r="KK325" s="5">
        <v>0.44979239944049498</v>
      </c>
      <c r="KL325" s="5">
        <v>0.112751911740353</v>
      </c>
      <c r="KM325" s="5">
        <v>-8.5678894616476001E-2</v>
      </c>
      <c r="KN325" s="5">
        <v>-0.101169512566831</v>
      </c>
      <c r="KO325" s="5">
        <v>0.13881115031713001</v>
      </c>
      <c r="KP325" s="5">
        <v>0.158381543593903</v>
      </c>
      <c r="KQ325" s="5">
        <v>-0.19280799316868899</v>
      </c>
      <c r="KR325" s="5">
        <v>-0.40862358662105103</v>
      </c>
      <c r="KS325" s="5">
        <v>0.64346133658598403</v>
      </c>
      <c r="KT325" s="5">
        <v>-0.33722366406153698</v>
      </c>
      <c r="KU325" s="5">
        <v>0.50782542013942999</v>
      </c>
      <c r="KV325" s="5">
        <v>-0.38150125175617799</v>
      </c>
      <c r="KW325" s="5">
        <v>0.55638605900266802</v>
      </c>
      <c r="KX325" s="5">
        <v>-0.37851303622361798</v>
      </c>
      <c r="KY325" s="5">
        <v>0.56494341799104097</v>
      </c>
      <c r="KZ325" s="5">
        <v>-0.113049565188354</v>
      </c>
      <c r="LA325" s="5">
        <v>0.27849837555651402</v>
      </c>
      <c r="LB325" s="5">
        <v>-0.470786637393101</v>
      </c>
      <c r="LC325" s="5">
        <v>0.73269610660543005</v>
      </c>
      <c r="LD325" s="5">
        <v>-0.185000795063191</v>
      </c>
      <c r="LE325" s="5">
        <v>0.35844377292403601</v>
      </c>
      <c r="LF325" s="5">
        <v>-0.12780783650318001</v>
      </c>
      <c r="LG325" s="5">
        <v>0.179015064357545</v>
      </c>
      <c r="LH325" s="5">
        <v>-0.37516601227351198</v>
      </c>
      <c r="LI325" s="5">
        <v>0.60528150609676601</v>
      </c>
      <c r="LJ325" s="5">
        <v>-0.13419735867265001</v>
      </c>
      <c r="LK325" s="5">
        <v>0.16607273481426199</v>
      </c>
      <c r="LL325" s="5">
        <v>-0.774167525558209</v>
      </c>
      <c r="LM325" s="5">
        <v>1</v>
      </c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</row>
    <row r="326" spans="1:389" x14ac:dyDescent="0.45">
      <c r="A326" s="4" t="str">
        <f ca="1">"STP / beta1dist in "&amp;CELL("address",'damages-1990'!$J$164)</f>
        <v>STP / beta1dist in '[BHM betas v3pd.xlsx]damages-1990'!$J$164</v>
      </c>
      <c r="B326" s="6">
        <v>0.13921161383421601</v>
      </c>
      <c r="C326" s="5">
        <v>0.234014165942211</v>
      </c>
      <c r="D326" s="5">
        <v>0.63068264758931802</v>
      </c>
      <c r="E326" s="5">
        <v>-0.343489319863929</v>
      </c>
      <c r="F326" s="5">
        <v>0.18279084277934801</v>
      </c>
      <c r="G326" s="5">
        <v>3.0765045249883601E-2</v>
      </c>
      <c r="H326" s="5">
        <v>2.8910569907794701E-2</v>
      </c>
      <c r="I326" s="5">
        <v>-7.5069188773921103E-2</v>
      </c>
      <c r="J326" s="5">
        <v>0.31951346132676001</v>
      </c>
      <c r="K326" s="5">
        <v>-7.3705843513285204E-3</v>
      </c>
      <c r="L326" s="5">
        <v>0.26960057311746299</v>
      </c>
      <c r="M326" s="5">
        <v>7.6315993046853006E-2</v>
      </c>
      <c r="N326" s="5">
        <v>0.109266821605981</v>
      </c>
      <c r="O326" s="5">
        <v>-9.0834534357911001E-2</v>
      </c>
      <c r="P326" s="5">
        <v>0.32596042753198701</v>
      </c>
      <c r="Q326" s="5">
        <v>-0.15412747722227299</v>
      </c>
      <c r="R326" s="5">
        <v>0.61048362315669003</v>
      </c>
      <c r="S326" s="5">
        <v>-0.39347285080400801</v>
      </c>
      <c r="T326" s="5">
        <v>3.02619804224287E-2</v>
      </c>
      <c r="U326" s="5">
        <v>-2.7571239669948101E-2</v>
      </c>
      <c r="V326" s="5">
        <v>0.16742919956772501</v>
      </c>
      <c r="W326" s="5">
        <v>0.192504189139658</v>
      </c>
      <c r="X326" s="5">
        <v>0.63302799582885105</v>
      </c>
      <c r="Y326" s="5">
        <v>-0.35252674316986199</v>
      </c>
      <c r="Z326" s="5">
        <v>0.111675717226001</v>
      </c>
      <c r="AA326" s="5">
        <v>-4.4469649214597597E-2</v>
      </c>
      <c r="AB326" s="5">
        <v>0.56471818184103095</v>
      </c>
      <c r="AC326" s="5">
        <v>-0.333278884596448</v>
      </c>
      <c r="AD326" s="5">
        <v>0.43713716988472201</v>
      </c>
      <c r="AE326" s="5">
        <v>-0.16968437782887699</v>
      </c>
      <c r="AF326" s="5">
        <v>0.23452092522381701</v>
      </c>
      <c r="AG326" s="5">
        <v>2.9594840460373001E-2</v>
      </c>
      <c r="AH326" s="5">
        <v>0.176327414418569</v>
      </c>
      <c r="AI326" s="5">
        <v>-9.0869609737740796E-4</v>
      </c>
      <c r="AJ326" s="5">
        <v>0.30702136698024102</v>
      </c>
      <c r="AK326" s="5">
        <v>6.5622392470457598E-3</v>
      </c>
      <c r="AL326" s="5">
        <v>0.39641670309164101</v>
      </c>
      <c r="AM326" s="5">
        <v>-0.244757606825491</v>
      </c>
      <c r="AN326" s="5">
        <v>0.11212444590404499</v>
      </c>
      <c r="AO326" s="5">
        <v>-3.2073932782498201E-3</v>
      </c>
      <c r="AP326" s="5">
        <v>-7.4008309585764001E-2</v>
      </c>
      <c r="AQ326" s="5">
        <v>0.10250290415676699</v>
      </c>
      <c r="AR326" s="5">
        <v>0.40391796728107199</v>
      </c>
      <c r="AS326" s="5">
        <v>-0.18464687914788799</v>
      </c>
      <c r="AT326" s="5">
        <v>0.19770307705489601</v>
      </c>
      <c r="AU326" s="5">
        <v>3.7375085383246999E-2</v>
      </c>
      <c r="AV326" s="5">
        <v>0.58267076561405295</v>
      </c>
      <c r="AW326" s="5">
        <v>-0.378059520226115</v>
      </c>
      <c r="AX326" s="5">
        <v>0.624544770942695</v>
      </c>
      <c r="AY326" s="5">
        <v>-0.44498221674344202</v>
      </c>
      <c r="AZ326" s="5">
        <v>0.29195445264491798</v>
      </c>
      <c r="BA326" s="5">
        <v>-0.12342827690417001</v>
      </c>
      <c r="BB326" s="5">
        <v>0.46583579061702002</v>
      </c>
      <c r="BC326" s="5">
        <v>-0.113853393847259</v>
      </c>
      <c r="BD326" s="5">
        <v>5.6119237566794399E-2</v>
      </c>
      <c r="BE326" s="5">
        <v>0.289932104226725</v>
      </c>
      <c r="BF326" s="5">
        <v>0.41355554385288401</v>
      </c>
      <c r="BG326" s="5">
        <v>-0.15608336797983499</v>
      </c>
      <c r="BH326" s="5">
        <v>0.60129423056193798</v>
      </c>
      <c r="BI326" s="5">
        <v>-0.336517914738033</v>
      </c>
      <c r="BJ326" s="5">
        <v>-0.39181970566844398</v>
      </c>
      <c r="BK326" s="5">
        <v>0.39356040046803298</v>
      </c>
      <c r="BL326" s="5">
        <v>8.1438080642063607E-2</v>
      </c>
      <c r="BM326" s="5">
        <v>-0.12097566601784999</v>
      </c>
      <c r="BN326" s="5">
        <v>-8.3041489426114598E-2</v>
      </c>
      <c r="BO326" s="5">
        <v>0.19823927978500999</v>
      </c>
      <c r="BP326" s="5">
        <v>-9.3241084698167595E-2</v>
      </c>
      <c r="BQ326" s="5">
        <v>0.25665481647195798</v>
      </c>
      <c r="BR326" s="5">
        <v>0.57915988733491797</v>
      </c>
      <c r="BS326" s="5">
        <v>-0.31487294858322001</v>
      </c>
      <c r="BT326" s="5">
        <v>0.57418704554113897</v>
      </c>
      <c r="BU326" s="5">
        <v>-0.32307069764156399</v>
      </c>
      <c r="BV326" s="5">
        <v>0.657637168898076</v>
      </c>
      <c r="BW326" s="5">
        <v>-0.38841990709468099</v>
      </c>
      <c r="BX326" s="5">
        <v>0.64968868630891496</v>
      </c>
      <c r="BY326" s="5">
        <v>-0.42857170874443601</v>
      </c>
      <c r="BZ326" s="5">
        <v>0.71763782254203501</v>
      </c>
      <c r="CA326" s="5">
        <v>-0.50794814016479195</v>
      </c>
      <c r="CB326" s="5">
        <v>0.64466693568436295</v>
      </c>
      <c r="CC326" s="5">
        <v>-0.49725802312549999</v>
      </c>
      <c r="CD326" s="5">
        <v>0.27484634468221703</v>
      </c>
      <c r="CE326" s="5">
        <v>-8.9552404572141905E-2</v>
      </c>
      <c r="CF326" s="5">
        <v>0.49956838303746298</v>
      </c>
      <c r="CG326" s="5">
        <v>-0.31964980892851502</v>
      </c>
      <c r="CH326" s="5">
        <v>0.377275298220908</v>
      </c>
      <c r="CI326" s="5">
        <v>-0.22737938571470001</v>
      </c>
      <c r="CJ326" s="5">
        <v>7.2735420300576004E-2</v>
      </c>
      <c r="CK326" s="5">
        <v>8.6657103526693494E-2</v>
      </c>
      <c r="CL326" s="5">
        <v>4.7172046822595799E-2</v>
      </c>
      <c r="CM326" s="5">
        <v>-4.3960142634194002E-3</v>
      </c>
      <c r="CN326" s="5">
        <v>7.5696700732579503E-2</v>
      </c>
      <c r="CO326" s="5">
        <v>-2.1208423956708199E-2</v>
      </c>
      <c r="CP326" s="5">
        <v>0.31797093513962399</v>
      </c>
      <c r="CQ326" s="5">
        <v>-9.0591005995677903E-2</v>
      </c>
      <c r="CR326" s="5">
        <v>0.36669850875746401</v>
      </c>
      <c r="CS326" s="5">
        <v>-0.18218722406750801</v>
      </c>
      <c r="CT326" s="5">
        <v>1.2694835824926899E-2</v>
      </c>
      <c r="CU326" s="5">
        <v>6.8449598976721296E-3</v>
      </c>
      <c r="CV326" s="5">
        <v>0.57186299217574299</v>
      </c>
      <c r="CW326" s="5">
        <v>-0.39417742218935098</v>
      </c>
      <c r="CX326" s="5">
        <v>0.37406051006902502</v>
      </c>
      <c r="CY326" s="5">
        <v>-8.6357665046954094E-2</v>
      </c>
      <c r="CZ326" s="5">
        <v>0.76787833399996597</v>
      </c>
      <c r="DA326" s="5">
        <v>-0.57153773259282004</v>
      </c>
      <c r="DB326" s="5">
        <v>0.299160472814752</v>
      </c>
      <c r="DC326" s="5">
        <v>5.5947824655225901E-2</v>
      </c>
      <c r="DD326" s="5">
        <v>0.282419859730002</v>
      </c>
      <c r="DE326" s="5">
        <v>-4.6820612917957298E-2</v>
      </c>
      <c r="DF326" s="5">
        <v>0.37955942396676301</v>
      </c>
      <c r="DG326" s="5">
        <v>-0.139655559884065</v>
      </c>
      <c r="DH326" s="5">
        <v>0.239735807953396</v>
      </c>
      <c r="DI326" s="5">
        <v>-4.4370877397597397E-3</v>
      </c>
      <c r="DJ326" s="5">
        <v>-0.16524594334023701</v>
      </c>
      <c r="DK326" s="5">
        <v>0.153052456656178</v>
      </c>
      <c r="DL326" s="5">
        <v>0.41985462166148302</v>
      </c>
      <c r="DM326" s="5">
        <v>-0.13537592095572601</v>
      </c>
      <c r="DN326" s="5">
        <v>-0.222751367780779</v>
      </c>
      <c r="DO326" s="5">
        <v>0.162999531525853</v>
      </c>
      <c r="DP326" s="5">
        <v>0.27459854027477099</v>
      </c>
      <c r="DQ326" s="5">
        <v>3.2325722089344297E-2</v>
      </c>
      <c r="DR326" s="5">
        <v>0.16260616974140099</v>
      </c>
      <c r="DS326" s="5">
        <v>-1.8515253595432699E-2</v>
      </c>
      <c r="DT326" s="5">
        <v>0.242604794823472</v>
      </c>
      <c r="DU326" s="5">
        <v>-4.4513129388215299E-2</v>
      </c>
      <c r="DV326" s="5">
        <v>0.66896884905260001</v>
      </c>
      <c r="DW326" s="5">
        <v>-0.50019737105505402</v>
      </c>
      <c r="DX326" s="5">
        <v>1.9299178416060901E-2</v>
      </c>
      <c r="DY326" s="5">
        <v>5.9477405130468498E-3</v>
      </c>
      <c r="DZ326" s="5">
        <v>0.10198491910744401</v>
      </c>
      <c r="EA326" s="5">
        <v>-7.3022526357645098E-2</v>
      </c>
      <c r="EB326" s="5">
        <v>0.59378104159949197</v>
      </c>
      <c r="EC326" s="5">
        <v>-0.33727487871589801</v>
      </c>
      <c r="ED326" s="5">
        <v>0.58727570537450302</v>
      </c>
      <c r="EE326" s="5">
        <v>-0.29215477134790002</v>
      </c>
      <c r="EF326" s="5">
        <v>0.34007794489168303</v>
      </c>
      <c r="EG326" s="5">
        <v>-0.16646718076171399</v>
      </c>
      <c r="EH326" s="5">
        <v>0.48328603267860498</v>
      </c>
      <c r="EI326" s="5">
        <v>-0.17427353640377999</v>
      </c>
      <c r="EJ326" s="5">
        <v>0.51298157182894999</v>
      </c>
      <c r="EK326" s="5">
        <v>-0.21030182752843299</v>
      </c>
      <c r="EL326" s="5">
        <v>0.77729355843676795</v>
      </c>
      <c r="EM326" s="5">
        <v>-0.57341161372545801</v>
      </c>
      <c r="EN326" s="5">
        <v>0.192731616999709</v>
      </c>
      <c r="EO326" s="5">
        <v>2.1722732906217901E-2</v>
      </c>
      <c r="EP326" s="5">
        <v>0.41180307482101602</v>
      </c>
      <c r="EQ326" s="5">
        <v>-0.249635131693979</v>
      </c>
      <c r="ER326" s="5">
        <v>0.428589432845702</v>
      </c>
      <c r="ES326" s="5">
        <v>-0.18729307510401599</v>
      </c>
      <c r="ET326" s="5">
        <v>0.45811686314916999</v>
      </c>
      <c r="EU326" s="5">
        <v>-0.315547340192949</v>
      </c>
      <c r="EV326" s="5">
        <v>0.47070305536344098</v>
      </c>
      <c r="EW326" s="5">
        <v>-0.34646655875573101</v>
      </c>
      <c r="EX326" s="5">
        <v>0.35666533393372402</v>
      </c>
      <c r="EY326" s="5">
        <v>-0.202190034804866</v>
      </c>
      <c r="EZ326" s="5">
        <v>0.37104759957486799</v>
      </c>
      <c r="FA326" s="5">
        <v>-0.131730649418421</v>
      </c>
      <c r="FB326" s="5">
        <v>0.175073400301891</v>
      </c>
      <c r="FC326" s="5">
        <v>9.2621234377788606E-3</v>
      </c>
      <c r="FD326" s="5">
        <v>0.57377994504256802</v>
      </c>
      <c r="FE326" s="5">
        <v>-0.39824829113072602</v>
      </c>
      <c r="FF326" s="5">
        <v>0.14238353081352001</v>
      </c>
      <c r="FG326" s="5">
        <v>1.09736090899427E-2</v>
      </c>
      <c r="FH326" s="5">
        <v>0.45904417665466601</v>
      </c>
      <c r="FI326" s="5">
        <v>-0.176394610033105</v>
      </c>
      <c r="FJ326" s="5">
        <v>0.42860803369855599</v>
      </c>
      <c r="FK326" s="5">
        <v>-7.4170775796520302E-2</v>
      </c>
      <c r="FL326" s="5">
        <v>-4.6238509898093298E-2</v>
      </c>
      <c r="FM326" s="5">
        <v>0.107381444393325</v>
      </c>
      <c r="FN326" s="5">
        <v>0.147799543548853</v>
      </c>
      <c r="FO326" s="5">
        <v>0.217361742151337</v>
      </c>
      <c r="FP326" s="5">
        <v>0.23495123554484901</v>
      </c>
      <c r="FQ326" s="5">
        <v>0.10534637621371799</v>
      </c>
      <c r="FR326" s="5">
        <v>-0.18121745474147399</v>
      </c>
      <c r="FS326" s="5">
        <v>0.143028309690484</v>
      </c>
      <c r="FT326" s="5">
        <v>0.28590237670621499</v>
      </c>
      <c r="FU326" s="5">
        <v>2.9695121525097699E-2</v>
      </c>
      <c r="FV326" s="5">
        <v>0.22993826321817601</v>
      </c>
      <c r="FW326" s="5">
        <v>1.45780867283364E-2</v>
      </c>
      <c r="FX326" s="5">
        <v>0.54644356489651502</v>
      </c>
      <c r="FY326" s="5">
        <v>-0.36966819501911002</v>
      </c>
      <c r="FZ326" s="5">
        <v>0.35415889744464701</v>
      </c>
      <c r="GA326" s="5">
        <v>-5.9722537176421398E-4</v>
      </c>
      <c r="GB326" s="5">
        <v>0.19905942640214</v>
      </c>
      <c r="GC326" s="5">
        <v>-1.08490646926503E-2</v>
      </c>
      <c r="GD326" s="5">
        <v>-0.10886543020977101</v>
      </c>
      <c r="GE326" s="5">
        <v>0.172535616016261</v>
      </c>
      <c r="GF326" s="5">
        <v>0.46734845891772298</v>
      </c>
      <c r="GG326" s="5">
        <v>-0.198547583735314</v>
      </c>
      <c r="GH326" s="5">
        <v>-0.25605538699838598</v>
      </c>
      <c r="GI326" s="5">
        <v>0.27740022377649498</v>
      </c>
      <c r="GJ326" s="5">
        <v>0.51514229845196702</v>
      </c>
      <c r="GK326" s="5">
        <v>-0.38383869594116099</v>
      </c>
      <c r="GL326" s="5">
        <v>0.35460097462037599</v>
      </c>
      <c r="GM326" s="5">
        <v>-0.175467844672659</v>
      </c>
      <c r="GN326" s="5">
        <v>0.198513049053092</v>
      </c>
      <c r="GO326" s="5">
        <v>1.4378468452554799E-2</v>
      </c>
      <c r="GP326" s="5">
        <v>0.29643371853040201</v>
      </c>
      <c r="GQ326" s="5">
        <v>2.2776141562173498E-2</v>
      </c>
      <c r="GR326" s="5">
        <v>0.60283886904886996</v>
      </c>
      <c r="GS326" s="5">
        <v>-0.44274559165050498</v>
      </c>
      <c r="GT326" s="5">
        <v>0.22388244758519299</v>
      </c>
      <c r="GU326" s="5">
        <v>9.3313655081263894E-2</v>
      </c>
      <c r="GV326" s="5">
        <v>0.66024332810262898</v>
      </c>
      <c r="GW326" s="5">
        <v>-0.48807252949749602</v>
      </c>
      <c r="GX326" s="5">
        <v>0.26459873057473599</v>
      </c>
      <c r="GY326" s="5">
        <v>5.05632780906281E-3</v>
      </c>
      <c r="GZ326" s="5">
        <v>6.23369733663496E-2</v>
      </c>
      <c r="HA326" s="5">
        <v>-9.2547043731270706E-2</v>
      </c>
      <c r="HB326" s="5">
        <v>0.69140500451601505</v>
      </c>
      <c r="HC326" s="5">
        <v>-0.492728234171107</v>
      </c>
      <c r="HD326" s="5">
        <v>0.12550552844594801</v>
      </c>
      <c r="HE326" s="5">
        <v>0.22070575557790001</v>
      </c>
      <c r="HF326" s="5">
        <v>-9.6435299448776504E-2</v>
      </c>
      <c r="HG326" s="5">
        <v>0.111570761579601</v>
      </c>
      <c r="HH326" s="5">
        <v>0.10714976081882301</v>
      </c>
      <c r="HI326" s="5">
        <v>-5.5181686753795901E-2</v>
      </c>
      <c r="HJ326" s="5">
        <v>-0.119888899888467</v>
      </c>
      <c r="HK326" s="5">
        <v>0.117072575649729</v>
      </c>
      <c r="HL326" s="5">
        <v>0.40332222755512198</v>
      </c>
      <c r="HM326" s="5">
        <v>-0.148868703230743</v>
      </c>
      <c r="HN326" s="5">
        <v>0.11935712680284299</v>
      </c>
      <c r="HO326" s="5">
        <v>2.2717945874626701E-2</v>
      </c>
      <c r="HP326" s="5">
        <v>0.30770815802712498</v>
      </c>
      <c r="HQ326" s="5">
        <v>4.1106951417611698E-3</v>
      </c>
      <c r="HR326" s="5">
        <v>0.39754763276164601</v>
      </c>
      <c r="HS326" s="5">
        <v>-0.15636331019165101</v>
      </c>
      <c r="HT326" s="5">
        <v>0.154006107876657</v>
      </c>
      <c r="HU326" s="5">
        <v>8.8633461793642798E-3</v>
      </c>
      <c r="HV326" s="5">
        <v>0.403133255103304</v>
      </c>
      <c r="HW326" s="5">
        <v>-0.13096386555849401</v>
      </c>
      <c r="HX326" s="5">
        <v>0.58290523685024898</v>
      </c>
      <c r="HY326" s="5">
        <v>-0.32079794695289099</v>
      </c>
      <c r="HZ326" s="5">
        <v>9.8516707815071602E-2</v>
      </c>
      <c r="IA326" s="5">
        <v>-2.1262891261860199E-2</v>
      </c>
      <c r="IB326" s="5">
        <v>-0.163524277732672</v>
      </c>
      <c r="IC326" s="5">
        <v>0.15668032823184699</v>
      </c>
      <c r="ID326" s="5">
        <v>0.44911288645953501</v>
      </c>
      <c r="IE326" s="5">
        <v>-0.17684090186076801</v>
      </c>
      <c r="IF326" s="5">
        <v>0.46459332582732699</v>
      </c>
      <c r="IG326" s="5">
        <v>-0.16004701445122099</v>
      </c>
      <c r="IH326" s="5">
        <v>0.36995548032652298</v>
      </c>
      <c r="II326" s="5">
        <v>-0.189168885336815</v>
      </c>
      <c r="IJ326" s="5">
        <v>0.52588331351860196</v>
      </c>
      <c r="IK326" s="5">
        <v>-0.39800415580550502</v>
      </c>
      <c r="IL326" s="5">
        <v>0.47150849283082802</v>
      </c>
      <c r="IM326" s="5">
        <v>-0.23522964314219599</v>
      </c>
      <c r="IN326" s="5">
        <v>0.48319042962087999</v>
      </c>
      <c r="IO326" s="5">
        <v>-0.156736742818398</v>
      </c>
      <c r="IP326" s="5">
        <v>0.574164912022048</v>
      </c>
      <c r="IQ326" s="5">
        <v>-0.27248825927415998</v>
      </c>
      <c r="IR326" s="5">
        <v>7.4658209139325707E-2</v>
      </c>
      <c r="IS326" s="5">
        <v>0.23014407289935601</v>
      </c>
      <c r="IT326" s="5">
        <v>0.37628582555453999</v>
      </c>
      <c r="IU326" s="5">
        <v>-0.117765783757165</v>
      </c>
      <c r="IV326" s="5">
        <v>0.45898544500632699</v>
      </c>
      <c r="IW326" s="5">
        <v>-0.23218765071928901</v>
      </c>
      <c r="IX326" s="5">
        <v>0.46407730871332598</v>
      </c>
      <c r="IY326" s="5">
        <v>-0.28280924102664801</v>
      </c>
      <c r="IZ326" s="5">
        <v>0.122089952640506</v>
      </c>
      <c r="JA326" s="5">
        <v>-7.0459031449982695E-2</v>
      </c>
      <c r="JB326" s="5">
        <v>-0.138871433037773</v>
      </c>
      <c r="JC326" s="5">
        <v>6.0287622545624399E-2</v>
      </c>
      <c r="JD326" s="5">
        <v>0.12948982613048801</v>
      </c>
      <c r="JE326" s="5">
        <v>0.29373924281503899</v>
      </c>
      <c r="JF326" s="5">
        <v>0.48157463887216401</v>
      </c>
      <c r="JG326" s="5">
        <v>-0.41566011352523202</v>
      </c>
      <c r="JH326" s="5">
        <v>0.206793867829002</v>
      </c>
      <c r="JI326" s="5">
        <v>-0.130603566385147</v>
      </c>
      <c r="JJ326" s="5">
        <v>0.37188931465292202</v>
      </c>
      <c r="JK326" s="5">
        <v>-4.5563032887487899E-3</v>
      </c>
      <c r="JL326" s="5">
        <v>0.20479246902185699</v>
      </c>
      <c r="JM326" s="5">
        <v>0.10611422708502399</v>
      </c>
      <c r="JN326" s="5">
        <v>0.69578189945106605</v>
      </c>
      <c r="JO326" s="5">
        <v>-0.51199342156050198</v>
      </c>
      <c r="JP326" s="5">
        <v>0.66509078414895795</v>
      </c>
      <c r="JQ326" s="5">
        <v>-0.39386073415192802</v>
      </c>
      <c r="JR326" s="5">
        <v>0.26063906471210302</v>
      </c>
      <c r="JS326" s="5">
        <v>0.140015440758431</v>
      </c>
      <c r="JT326" s="5">
        <v>0.150927251805025</v>
      </c>
      <c r="JU326" s="5">
        <v>0.16460025118209301</v>
      </c>
      <c r="JV326" s="5">
        <v>0.43164955207621603</v>
      </c>
      <c r="JW326" s="5">
        <v>-0.17026845653245601</v>
      </c>
      <c r="JX326" s="5">
        <v>-1.0209643931501399E-3</v>
      </c>
      <c r="JY326" s="5">
        <v>5.01735145048917E-2</v>
      </c>
      <c r="JZ326" s="5">
        <v>0.38077846057908199</v>
      </c>
      <c r="KA326" s="5">
        <v>-0.18130492467579701</v>
      </c>
      <c r="KB326" s="5">
        <v>3.6478446214129101E-2</v>
      </c>
      <c r="KC326" s="5">
        <v>-3.7949860768512499E-3</v>
      </c>
      <c r="KD326" s="5">
        <v>0.248953375657118</v>
      </c>
      <c r="KE326" s="5">
        <v>-4.9111905097761102E-2</v>
      </c>
      <c r="KF326" s="5">
        <v>0.41871173590801303</v>
      </c>
      <c r="KG326" s="5">
        <v>-0.23594517348742</v>
      </c>
      <c r="KH326" s="5">
        <v>0.275140138245975</v>
      </c>
      <c r="KI326" s="5">
        <v>3.3323568669719403E-2</v>
      </c>
      <c r="KJ326" s="5">
        <v>0.31274803364653297</v>
      </c>
      <c r="KK326" s="5">
        <v>-6.2414721212607398E-3</v>
      </c>
      <c r="KL326" s="5">
        <v>0.41766327920555102</v>
      </c>
      <c r="KM326" s="5">
        <v>-0.24937171345683901</v>
      </c>
      <c r="KN326" s="5">
        <v>0.10161726265840899</v>
      </c>
      <c r="KO326" s="5">
        <v>1.5905669337585401E-2</v>
      </c>
      <c r="KP326" s="5">
        <v>-0.23489943168654101</v>
      </c>
      <c r="KQ326" s="5">
        <v>0.15878611686336</v>
      </c>
      <c r="KR326" s="5">
        <v>0.64880549446760605</v>
      </c>
      <c r="KS326" s="5">
        <v>-0.38987794558267302</v>
      </c>
      <c r="KT326" s="5">
        <v>0.439742341856311</v>
      </c>
      <c r="KU326" s="5">
        <v>-0.154411397970041</v>
      </c>
      <c r="KV326" s="5">
        <v>0.42353730388708999</v>
      </c>
      <c r="KW326" s="5">
        <v>-0.14477358668081999</v>
      </c>
      <c r="KX326" s="5">
        <v>0.48428847739620401</v>
      </c>
      <c r="KY326" s="5">
        <v>-0.16440425641112799</v>
      </c>
      <c r="KZ326" s="5">
        <v>0.51548314806102702</v>
      </c>
      <c r="LA326" s="5">
        <v>-0.37605781421611101</v>
      </c>
      <c r="LB326" s="5">
        <v>0.58946178592743703</v>
      </c>
      <c r="LC326" s="5">
        <v>-0.33152065207640702</v>
      </c>
      <c r="LD326" s="5">
        <v>0.437573721763729</v>
      </c>
      <c r="LE326" s="5">
        <v>-0.21464124418441599</v>
      </c>
      <c r="LF326" s="5">
        <v>0.16882154343724301</v>
      </c>
      <c r="LG326" s="5">
        <v>2.4647439433521101E-2</v>
      </c>
      <c r="LH326" s="5">
        <v>0.40275870126301999</v>
      </c>
      <c r="LI326" s="5">
        <v>-0.10897679923695899</v>
      </c>
      <c r="LJ326" s="5">
        <v>0.16025661576481501</v>
      </c>
      <c r="LK326" s="5">
        <v>1.72168464732241E-2</v>
      </c>
      <c r="LL326" s="5">
        <v>0.55080514346753995</v>
      </c>
      <c r="LM326" s="5">
        <v>-0.34034184371342302</v>
      </c>
      <c r="LN326" s="5">
        <v>1</v>
      </c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</row>
    <row r="327" spans="1:389" x14ac:dyDescent="0.45">
      <c r="A327" s="4" t="str">
        <f ca="1">"STP / beta2dist in "&amp;CELL("address",'damages-1990'!$K$164)</f>
        <v>STP / beta2dist in '[BHM betas v3pd.xlsx]damages-1990'!$K$164</v>
      </c>
      <c r="B327" s="6">
        <v>-2.3011975635870998E-3</v>
      </c>
      <c r="C327" s="5">
        <v>-2.3341626243889201E-2</v>
      </c>
      <c r="D327" s="5">
        <v>-0.41355788315198699</v>
      </c>
      <c r="E327" s="5">
        <v>0.53354564528178205</v>
      </c>
      <c r="F327" s="5">
        <v>-3.99185222981139E-2</v>
      </c>
      <c r="G327" s="5">
        <v>4.19120774019884E-2</v>
      </c>
      <c r="H327" s="5">
        <v>-0.100252390196852</v>
      </c>
      <c r="I327" s="5">
        <v>0.114081063734341</v>
      </c>
      <c r="J327" s="5">
        <v>-0.100902997812982</v>
      </c>
      <c r="K327" s="5">
        <v>0.144681829685985</v>
      </c>
      <c r="L327" s="5">
        <v>-2.23188267058059E-2</v>
      </c>
      <c r="M327" s="5">
        <v>-1.83625224121081E-2</v>
      </c>
      <c r="N327" s="5">
        <v>-7.28741020182581E-2</v>
      </c>
      <c r="O327" s="5">
        <v>6.5349882332227105E-2</v>
      </c>
      <c r="P327" s="5">
        <v>-0.30315333876711698</v>
      </c>
      <c r="Q327" s="5">
        <v>0.362640432514172</v>
      </c>
      <c r="R327" s="5">
        <v>-0.40179878961139798</v>
      </c>
      <c r="S327" s="5">
        <v>0.58430283637510105</v>
      </c>
      <c r="T327" s="5">
        <v>-8.6556378611981094E-2</v>
      </c>
      <c r="U327" s="5">
        <v>0.103633560199412</v>
      </c>
      <c r="V327" s="5">
        <v>1.1020775111285099E-2</v>
      </c>
      <c r="W327" s="5">
        <v>-7.8926968284024596E-2</v>
      </c>
      <c r="X327" s="5">
        <v>-0.45117598987318303</v>
      </c>
      <c r="Y327" s="5">
        <v>0.54899295163119299</v>
      </c>
      <c r="Z327" s="5">
        <v>-9.5496438878458503E-2</v>
      </c>
      <c r="AA327" s="5">
        <v>0.13594239533267899</v>
      </c>
      <c r="AB327" s="5">
        <v>-0.41345828328146</v>
      </c>
      <c r="AC327" s="5">
        <v>0.52785461036590198</v>
      </c>
      <c r="AD327" s="5">
        <v>-0.31991158362136202</v>
      </c>
      <c r="AE327" s="5">
        <v>0.40104379699770298</v>
      </c>
      <c r="AF327" s="5">
        <v>-9.5307055169664895E-2</v>
      </c>
      <c r="AG327" s="5">
        <v>0.14679848818333199</v>
      </c>
      <c r="AH327" s="5">
        <v>-6.3660709650261701E-2</v>
      </c>
      <c r="AI327" s="5">
        <v>6.37381657763781E-2</v>
      </c>
      <c r="AJ327" s="5">
        <v>-0.13505307668106001</v>
      </c>
      <c r="AK327" s="5">
        <v>0.15533457129991299</v>
      </c>
      <c r="AL327" s="5">
        <v>-9.8563723725494795E-2</v>
      </c>
      <c r="AM327" s="5">
        <v>0.112930556999764</v>
      </c>
      <c r="AN327" s="5">
        <v>-8.2195448011712594E-2</v>
      </c>
      <c r="AO327" s="5">
        <v>8.4995404878739494E-2</v>
      </c>
      <c r="AP327" s="5">
        <v>-5.3395335424824601E-2</v>
      </c>
      <c r="AQ327" s="5">
        <v>7.4229231949862806E-2</v>
      </c>
      <c r="AR327" s="5">
        <v>-0.13394913366929201</v>
      </c>
      <c r="AS327" s="5">
        <v>0.204582419046027</v>
      </c>
      <c r="AT327" s="5">
        <v>0.114940227551744</v>
      </c>
      <c r="AU327" s="5">
        <v>-0.19971232854012999</v>
      </c>
      <c r="AV327" s="5">
        <v>-0.31738751447918701</v>
      </c>
      <c r="AW327" s="5">
        <v>0.52424758990875497</v>
      </c>
      <c r="AX327" s="5">
        <v>-0.37431127491342903</v>
      </c>
      <c r="AY327" s="5">
        <v>0.58603507640644903</v>
      </c>
      <c r="AZ327" s="5">
        <v>-0.24377716166371499</v>
      </c>
      <c r="BA327" s="5">
        <v>0.30226225865200601</v>
      </c>
      <c r="BB327" s="5">
        <v>-0.205940529614039</v>
      </c>
      <c r="BC327" s="5">
        <v>0.24354257363460799</v>
      </c>
      <c r="BD327" s="5">
        <v>2.7331810226031199E-2</v>
      </c>
      <c r="BE327" s="5">
        <v>-6.6750174999866296E-2</v>
      </c>
      <c r="BF327" s="5">
        <v>-0.182822162315911</v>
      </c>
      <c r="BG327" s="5">
        <v>0.23886027459068801</v>
      </c>
      <c r="BH327" s="5">
        <v>-0.39821311041795099</v>
      </c>
      <c r="BI327" s="5">
        <v>0.54349033221637899</v>
      </c>
      <c r="BJ327" s="5">
        <v>0.26161621129809898</v>
      </c>
      <c r="BK327" s="5">
        <v>-0.43290730490796903</v>
      </c>
      <c r="BL327" s="5">
        <v>-0.16408518670869901</v>
      </c>
      <c r="BM327" s="5">
        <v>0.19548361330257499</v>
      </c>
      <c r="BN327" s="5">
        <v>8.1018668563022797E-2</v>
      </c>
      <c r="BO327" s="5">
        <v>-0.13586648443021301</v>
      </c>
      <c r="BP327" s="5">
        <v>7.9426265850925007E-2</v>
      </c>
      <c r="BQ327" s="5">
        <v>-0.20488631726749701</v>
      </c>
      <c r="BR327" s="5">
        <v>-0.48196401527951299</v>
      </c>
      <c r="BS327" s="5">
        <v>0.55835059051730496</v>
      </c>
      <c r="BT327" s="5">
        <v>-0.33914042551266599</v>
      </c>
      <c r="BU327" s="5">
        <v>0.51563868701758697</v>
      </c>
      <c r="BV327" s="5">
        <v>-0.45593156484372099</v>
      </c>
      <c r="BW327" s="5">
        <v>0.59099455128126099</v>
      </c>
      <c r="BX327" s="5">
        <v>-0.464137021358214</v>
      </c>
      <c r="BY327" s="5">
        <v>0.62004727720743202</v>
      </c>
      <c r="BZ327" s="5">
        <v>-0.53891133463955798</v>
      </c>
      <c r="CA327" s="5">
        <v>0.69443214842195</v>
      </c>
      <c r="CB327" s="5">
        <v>-0.47311278775571902</v>
      </c>
      <c r="CC327" s="5">
        <v>0.606907228530293</v>
      </c>
      <c r="CD327" s="5">
        <v>-0.17434380095181001</v>
      </c>
      <c r="CE327" s="5">
        <v>0.215355673116921</v>
      </c>
      <c r="CF327" s="5">
        <v>-0.38397857293122101</v>
      </c>
      <c r="CG327" s="5">
        <v>0.46663217560207099</v>
      </c>
      <c r="CH327" s="5">
        <v>-6.5900721406306206E-2</v>
      </c>
      <c r="CI327" s="5">
        <v>7.4048547861475106E-2</v>
      </c>
      <c r="CJ327" s="5">
        <v>5.8358302209324198E-2</v>
      </c>
      <c r="CK327" s="5">
        <v>-3.4427983122204001E-3</v>
      </c>
      <c r="CL327" s="5">
        <v>-5.70601909938575E-2</v>
      </c>
      <c r="CM327" s="5">
        <v>7.1825904241977004E-2</v>
      </c>
      <c r="CN327" s="5">
        <v>-7.8243182350512197E-2</v>
      </c>
      <c r="CO327" s="5">
        <v>0.102686087037043</v>
      </c>
      <c r="CP327" s="5">
        <v>-0.30322395635051302</v>
      </c>
      <c r="CQ327" s="5">
        <v>0.34114716554088098</v>
      </c>
      <c r="CR327" s="5">
        <v>-0.32328860979709301</v>
      </c>
      <c r="CS327" s="5">
        <v>0.38754532610042403</v>
      </c>
      <c r="CT327" s="5">
        <v>-6.8064593261143502E-2</v>
      </c>
      <c r="CU327" s="5">
        <v>9.8357962546817598E-2</v>
      </c>
      <c r="CV327" s="5">
        <v>-0.48673810538772599</v>
      </c>
      <c r="CW327" s="5">
        <v>0.57406802978187499</v>
      </c>
      <c r="CX327" s="5">
        <v>-0.20046415809361801</v>
      </c>
      <c r="CY327" s="5">
        <v>0.27968297880842702</v>
      </c>
      <c r="CZ327" s="5">
        <v>-0.59736180515573101</v>
      </c>
      <c r="DA327" s="5">
        <v>0.72746700685597199</v>
      </c>
      <c r="DB327" s="5">
        <v>-9.7966682010476897E-2</v>
      </c>
      <c r="DC327" s="5">
        <v>0.100474331022416</v>
      </c>
      <c r="DD327" s="5">
        <v>-0.22741627486329299</v>
      </c>
      <c r="DE327" s="5">
        <v>0.31195402023949698</v>
      </c>
      <c r="DF327" s="5">
        <v>-0.20306343731606999</v>
      </c>
      <c r="DG327" s="5">
        <v>0.28077913214171202</v>
      </c>
      <c r="DH327" s="5">
        <v>-7.7499164753580096E-2</v>
      </c>
      <c r="DI327" s="5">
        <v>0.14169922812098601</v>
      </c>
      <c r="DJ327" s="5">
        <v>1.0918910967286999E-2</v>
      </c>
      <c r="DK327" s="5">
        <v>2.53668272731634E-2</v>
      </c>
      <c r="DL327" s="5">
        <v>-0.247731473856939</v>
      </c>
      <c r="DM327" s="5">
        <v>0.35635914516941503</v>
      </c>
      <c r="DN327" s="5">
        <v>2.0741781631718598E-2</v>
      </c>
      <c r="DO327" s="5">
        <v>1.9439762108407602E-2</v>
      </c>
      <c r="DP327" s="5">
        <v>6.0858529523305303E-2</v>
      </c>
      <c r="DQ327" s="5">
        <v>-0.15026319518138301</v>
      </c>
      <c r="DR327" s="5">
        <v>-8.7821414537577205E-2</v>
      </c>
      <c r="DS327" s="5">
        <v>0.12352420767529999</v>
      </c>
      <c r="DT327" s="5">
        <v>-0.200913905671222</v>
      </c>
      <c r="DU327" s="5">
        <v>0.17541161543113601</v>
      </c>
      <c r="DV327" s="5">
        <v>-0.52958825211893201</v>
      </c>
      <c r="DW327" s="5">
        <v>0.67857777974780498</v>
      </c>
      <c r="DX327" s="5">
        <v>-8.3873279688704797E-2</v>
      </c>
      <c r="DY327" s="5">
        <v>0.131608550093222</v>
      </c>
      <c r="DZ327" s="5">
        <v>-7.4204752197349302E-2</v>
      </c>
      <c r="EA327" s="5">
        <v>9.3106364331453501E-2</v>
      </c>
      <c r="EB327" s="5">
        <v>-0.468833275157718</v>
      </c>
      <c r="EC327" s="5">
        <v>0.56648669727277501</v>
      </c>
      <c r="ED327" s="5">
        <v>-0.45368150943084701</v>
      </c>
      <c r="EE327" s="5">
        <v>0.53415015048706305</v>
      </c>
      <c r="EF327" s="5">
        <v>-0.32130381379675099</v>
      </c>
      <c r="EG327" s="5">
        <v>0.37617200409235801</v>
      </c>
      <c r="EH327" s="5">
        <v>-0.27553478511907298</v>
      </c>
      <c r="EI327" s="5">
        <v>0.34735542269252101</v>
      </c>
      <c r="EJ327" s="5">
        <v>-0.32204607642559402</v>
      </c>
      <c r="EK327" s="5">
        <v>0.40393440533191499</v>
      </c>
      <c r="EL327" s="5">
        <v>-0.57039208948342202</v>
      </c>
      <c r="EM327" s="5">
        <v>0.73722033965585898</v>
      </c>
      <c r="EN327" s="5">
        <v>1.5863934682078001E-2</v>
      </c>
      <c r="EO327" s="5">
        <v>-1.0207386555590701E-2</v>
      </c>
      <c r="EP327" s="5">
        <v>-0.35318695158340901</v>
      </c>
      <c r="EQ327" s="5">
        <v>0.425063266987044</v>
      </c>
      <c r="ER327" s="5">
        <v>-0.16281436429507001</v>
      </c>
      <c r="ES327" s="5">
        <v>0.25496272982302098</v>
      </c>
      <c r="ET327" s="5">
        <v>-0.22007127718605601</v>
      </c>
      <c r="EU327" s="5">
        <v>0.38916912811601401</v>
      </c>
      <c r="EV327" s="5">
        <v>-0.31796031580001299</v>
      </c>
      <c r="EW327" s="5">
        <v>0.52098772201761501</v>
      </c>
      <c r="EX327" s="5">
        <v>-0.134549296507676</v>
      </c>
      <c r="EY327" s="5">
        <v>0.27204835887038598</v>
      </c>
      <c r="EZ327" s="5">
        <v>-0.132455441978411</v>
      </c>
      <c r="FA327" s="5">
        <v>0.24333406877623101</v>
      </c>
      <c r="FB327" s="5">
        <v>-6.5566250105595594E-2</v>
      </c>
      <c r="FC327" s="5">
        <v>6.5831658664986706E-2</v>
      </c>
      <c r="FD327" s="5">
        <v>-0.416958376804278</v>
      </c>
      <c r="FE327" s="5">
        <v>0.52127589263688701</v>
      </c>
      <c r="FF327" s="5">
        <v>-5.3226689713257301E-2</v>
      </c>
      <c r="FG327" s="5">
        <v>5.0376338996318999E-2</v>
      </c>
      <c r="FH327" s="5">
        <v>-8.8684800188814097E-2</v>
      </c>
      <c r="FI327" s="5">
        <v>0.102627416179302</v>
      </c>
      <c r="FJ327" s="5">
        <v>-0.25597950704009897</v>
      </c>
      <c r="FK327" s="5">
        <v>0.28370811644785698</v>
      </c>
      <c r="FL327" s="5">
        <v>3.1925704452917897E-2</v>
      </c>
      <c r="FM327" s="5">
        <v>-1.7284522192333E-2</v>
      </c>
      <c r="FN327" s="5">
        <v>3.40558565389164E-2</v>
      </c>
      <c r="FO327" s="5">
        <v>-5.8266932808483697E-2</v>
      </c>
      <c r="FP327" s="5">
        <v>-3.9589384781669297E-2</v>
      </c>
      <c r="FQ327" s="5">
        <v>1.1714943807175599E-2</v>
      </c>
      <c r="FR327" s="5">
        <v>0.252034499784629</v>
      </c>
      <c r="FS327" s="5">
        <v>-0.22270720893980001</v>
      </c>
      <c r="FT327" s="5">
        <v>-0.10025747096892999</v>
      </c>
      <c r="FU327" s="5">
        <v>0.127927210946049</v>
      </c>
      <c r="FV327" s="5">
        <v>-5.71245412207258E-2</v>
      </c>
      <c r="FW327" s="5">
        <v>6.0959813766598002E-2</v>
      </c>
      <c r="FX327" s="5">
        <v>-0.37018685677329699</v>
      </c>
      <c r="FY327" s="5">
        <v>0.45441929773884898</v>
      </c>
      <c r="FZ327" s="5">
        <v>-0.14113682404570499</v>
      </c>
      <c r="GA327" s="5">
        <v>0.15775486246302201</v>
      </c>
      <c r="GB327" s="5">
        <v>-0.122112978170879</v>
      </c>
      <c r="GC327" s="5">
        <v>0.16593568163258701</v>
      </c>
      <c r="GD327" s="5">
        <v>4.58832278435303E-2</v>
      </c>
      <c r="GE327" s="5">
        <v>-7.1518797037538495E-2</v>
      </c>
      <c r="GF327" s="5">
        <v>-0.24816323964189599</v>
      </c>
      <c r="GG327" s="5">
        <v>0.37462978748074099</v>
      </c>
      <c r="GH327" s="5">
        <v>0.27478319782374899</v>
      </c>
      <c r="GI327" s="5">
        <v>-0.411350225918376</v>
      </c>
      <c r="GJ327" s="5">
        <v>-0.24587936311127301</v>
      </c>
      <c r="GK327" s="5">
        <v>0.40968477855894198</v>
      </c>
      <c r="GL327" s="5">
        <v>-0.35343879108047099</v>
      </c>
      <c r="GM327" s="5">
        <v>0.39357270568658298</v>
      </c>
      <c r="GN327" s="5">
        <v>-7.3022689270698604E-2</v>
      </c>
      <c r="GO327" s="5">
        <v>0.113055949564563</v>
      </c>
      <c r="GP327" s="5">
        <v>-0.109275810867909</v>
      </c>
      <c r="GQ327" s="5">
        <v>0.120432536895012</v>
      </c>
      <c r="GR327" s="5">
        <v>-0.39819547454767001</v>
      </c>
      <c r="GS327" s="5">
        <v>0.55491292817032301</v>
      </c>
      <c r="GT327" s="5">
        <v>-5.6217870050866398E-2</v>
      </c>
      <c r="GU327" s="5">
        <v>2.9735187172073001E-2</v>
      </c>
      <c r="GV327" s="5">
        <v>-0.49518995787486902</v>
      </c>
      <c r="GW327" s="5">
        <v>0.65253874174538795</v>
      </c>
      <c r="GX327" s="5">
        <v>-6.9556942543511302E-2</v>
      </c>
      <c r="GY327" s="5">
        <v>0.10867674587314199</v>
      </c>
      <c r="GZ327" s="5">
        <v>-0.14351312851905201</v>
      </c>
      <c r="HA327" s="5">
        <v>0.16693589607357501</v>
      </c>
      <c r="HB327" s="5">
        <v>-0.42550546498460801</v>
      </c>
      <c r="HC327" s="5">
        <v>0.57668388023459605</v>
      </c>
      <c r="HD327" s="5">
        <v>-3.1702922663701803E-2</v>
      </c>
      <c r="HE327" s="5">
        <v>2.5083449184317801E-2</v>
      </c>
      <c r="HF327" s="5">
        <v>-1.90838517792551E-2</v>
      </c>
      <c r="HG327" s="5">
        <v>4.4132392231167099E-2</v>
      </c>
      <c r="HH327" s="5">
        <v>-0.10273412902006999</v>
      </c>
      <c r="HI327" s="5">
        <v>0.13938259169064701</v>
      </c>
      <c r="HJ327" s="5">
        <v>-1.3857149421752901E-2</v>
      </c>
      <c r="HK327" s="5">
        <v>4.4471674446764198E-2</v>
      </c>
      <c r="HL327" s="5">
        <v>-0.22796770329287999</v>
      </c>
      <c r="HM327" s="5">
        <v>0.337104104829761</v>
      </c>
      <c r="HN327" s="5">
        <v>-6.0055018467397303E-2</v>
      </c>
      <c r="HO327" s="5">
        <v>6.5005077423124502E-2</v>
      </c>
      <c r="HP327" s="5">
        <v>3.8145553484997097E-2</v>
      </c>
      <c r="HQ327" s="5">
        <v>4.0381335743498697E-2</v>
      </c>
      <c r="HR327" s="5">
        <v>-0.100314284661723</v>
      </c>
      <c r="HS327" s="5">
        <v>0.22307526956697499</v>
      </c>
      <c r="HT327" s="5">
        <v>-7.4539095618628398E-2</v>
      </c>
      <c r="HU327" s="5">
        <v>8.0395586972304103E-2</v>
      </c>
      <c r="HV327" s="5">
        <v>-0.25862872237617401</v>
      </c>
      <c r="HW327" s="5">
        <v>0.35168551235506801</v>
      </c>
      <c r="HX327" s="5">
        <v>-0.375435363396322</v>
      </c>
      <c r="HY327" s="5">
        <v>0.50936958593121895</v>
      </c>
      <c r="HZ327" s="5">
        <v>-9.7407626937477704E-2</v>
      </c>
      <c r="IA327" s="5">
        <v>0.10082509501027399</v>
      </c>
      <c r="IB327" s="5">
        <v>9.9016232695901304E-2</v>
      </c>
      <c r="IC327" s="5">
        <v>-0.144499042852726</v>
      </c>
      <c r="ID327" s="5">
        <v>-0.12826874260777299</v>
      </c>
      <c r="IE327" s="5">
        <v>0.24400342572140499</v>
      </c>
      <c r="IF327" s="5">
        <v>-0.26830519647755202</v>
      </c>
      <c r="IG327" s="5">
        <v>0.34489126847783103</v>
      </c>
      <c r="IH327" s="5">
        <v>-0.32052891411155798</v>
      </c>
      <c r="II327" s="5">
        <v>0.38527243618343099</v>
      </c>
      <c r="IJ327" s="5">
        <v>-0.371929829870561</v>
      </c>
      <c r="IK327" s="5">
        <v>0.41159801862071199</v>
      </c>
      <c r="IL327" s="5">
        <v>-0.19215643049966599</v>
      </c>
      <c r="IM327" s="5">
        <v>0.34006467250627898</v>
      </c>
      <c r="IN327" s="5">
        <v>-0.17813469569838999</v>
      </c>
      <c r="IO327" s="5">
        <v>0.21690732067565299</v>
      </c>
      <c r="IP327" s="5">
        <v>-0.34977042367156203</v>
      </c>
      <c r="IQ327" s="5">
        <v>0.42421844496439698</v>
      </c>
      <c r="IR327" s="5">
        <v>0.196300533264267</v>
      </c>
      <c r="IS327" s="5">
        <v>-0.29969298938166999</v>
      </c>
      <c r="IT327" s="5">
        <v>-0.21021591318337199</v>
      </c>
      <c r="IU327" s="5">
        <v>0.31491233444623001</v>
      </c>
      <c r="IV327" s="5">
        <v>-0.315742690617899</v>
      </c>
      <c r="IW327" s="5">
        <v>0.439645756794242</v>
      </c>
      <c r="IX327" s="5">
        <v>-0.28447200727188199</v>
      </c>
      <c r="IY327" s="5">
        <v>0.43367593050967002</v>
      </c>
      <c r="IZ327" s="5">
        <v>-0.10976557800533</v>
      </c>
      <c r="JA327" s="5">
        <v>0.149495406057705</v>
      </c>
      <c r="JB327" s="5">
        <v>-7.8631067952597E-2</v>
      </c>
      <c r="JC327" s="5">
        <v>0.13708961348017801</v>
      </c>
      <c r="JD327" s="5">
        <v>3.9875556957284203E-2</v>
      </c>
      <c r="JE327" s="5">
        <v>-8.8407699392671596E-2</v>
      </c>
      <c r="JF327" s="5">
        <v>-0.40397157557910501</v>
      </c>
      <c r="JG327" s="5">
        <v>0.54692650676582</v>
      </c>
      <c r="JH327" s="5">
        <v>-0.13379340655073499</v>
      </c>
      <c r="JI327" s="5">
        <v>0.173669597216</v>
      </c>
      <c r="JJ327" s="5">
        <v>-0.16342333022334199</v>
      </c>
      <c r="JK327" s="5">
        <v>0.21505242373376299</v>
      </c>
      <c r="JL327" s="5">
        <v>-3.2540153954724801E-2</v>
      </c>
      <c r="JM327" s="5">
        <v>9.4335459171943095E-2</v>
      </c>
      <c r="JN327" s="5">
        <v>-0.54855929271233095</v>
      </c>
      <c r="JO327" s="5">
        <v>0.65414940872809602</v>
      </c>
      <c r="JP327" s="5">
        <v>-0.43314876708210598</v>
      </c>
      <c r="JQ327" s="5">
        <v>0.58405693068282705</v>
      </c>
      <c r="JR327" s="5">
        <v>6.6476391065173404E-2</v>
      </c>
      <c r="JS327" s="5">
        <v>-9.6737939784805396E-2</v>
      </c>
      <c r="JT327" s="5">
        <v>9.34013565694473E-2</v>
      </c>
      <c r="JU327" s="5">
        <v>-0.184779522470017</v>
      </c>
      <c r="JV327" s="5">
        <v>-9.0966475872075098E-2</v>
      </c>
      <c r="JW327" s="5">
        <v>0.18335900783572601</v>
      </c>
      <c r="JX327" s="5">
        <v>-2.9257207146722499E-2</v>
      </c>
      <c r="JY327" s="5">
        <v>4.5502209738319803E-2</v>
      </c>
      <c r="JZ327" s="5">
        <v>-0.38025598629462398</v>
      </c>
      <c r="KA327" s="5">
        <v>0.40927547979155099</v>
      </c>
      <c r="KB327" s="5">
        <v>-0.14776548278849</v>
      </c>
      <c r="KC327" s="5">
        <v>0.14512228940466601</v>
      </c>
      <c r="KD327" s="5">
        <v>-6.1594171149019702E-2</v>
      </c>
      <c r="KE327" s="5">
        <v>0.11876037092852899</v>
      </c>
      <c r="KF327" s="5">
        <v>-0.15170637734973599</v>
      </c>
      <c r="KG327" s="5">
        <v>0.20294096477106499</v>
      </c>
      <c r="KH327" s="5">
        <v>-9.5831749882500095E-2</v>
      </c>
      <c r="KI327" s="5">
        <v>0.12121516914555799</v>
      </c>
      <c r="KJ327" s="5">
        <v>-0.12978114092932599</v>
      </c>
      <c r="KK327" s="5">
        <v>0.16541135937857199</v>
      </c>
      <c r="KL327" s="5">
        <v>-0.16567898229591699</v>
      </c>
      <c r="KM327" s="5">
        <v>0.21845355847179501</v>
      </c>
      <c r="KN327" s="5">
        <v>-6.9204338214714306E-2</v>
      </c>
      <c r="KO327" s="5">
        <v>7.2571517780841199E-2</v>
      </c>
      <c r="KP327" s="5">
        <v>8.7408928404746594E-2</v>
      </c>
      <c r="KQ327" s="5">
        <v>-6.2426608473250003E-2</v>
      </c>
      <c r="KR327" s="5">
        <v>-0.46234076171439398</v>
      </c>
      <c r="KS327" s="5">
        <v>0.56841702061680199</v>
      </c>
      <c r="KT327" s="5">
        <v>-0.26164629651628002</v>
      </c>
      <c r="KU327" s="5">
        <v>0.36786854647122202</v>
      </c>
      <c r="KV327" s="5">
        <v>-0.26485507288535398</v>
      </c>
      <c r="KW327" s="5">
        <v>0.36875160091298398</v>
      </c>
      <c r="KX327" s="5">
        <v>-0.30042718165564902</v>
      </c>
      <c r="KY327" s="5">
        <v>0.36375463434755001</v>
      </c>
      <c r="KZ327" s="5">
        <v>-0.37181804974399801</v>
      </c>
      <c r="LA327" s="5">
        <v>0.46858317350100998</v>
      </c>
      <c r="LB327" s="5">
        <v>-0.37446672594271602</v>
      </c>
      <c r="LC327" s="5">
        <v>0.49238040031425101</v>
      </c>
      <c r="LD327" s="5">
        <v>-0.205707770133846</v>
      </c>
      <c r="LE327" s="5">
        <v>0.304271901807394</v>
      </c>
      <c r="LF327" s="5">
        <v>-6.5614331814629195E-2</v>
      </c>
      <c r="LG327" s="5">
        <v>6.9463350981767993E-2</v>
      </c>
      <c r="LH327" s="5">
        <v>-0.19972639157701499</v>
      </c>
      <c r="LI327" s="5">
        <v>0.29752052909770699</v>
      </c>
      <c r="LJ327" s="5">
        <v>-7.1080310475814104E-2</v>
      </c>
      <c r="LK327" s="5">
        <v>7.4813813170761606E-2</v>
      </c>
      <c r="LL327" s="5">
        <v>-0.35101146187297799</v>
      </c>
      <c r="LM327" s="5">
        <v>0.499061722707487</v>
      </c>
      <c r="LN327" s="5">
        <v>-0.83853985879814896</v>
      </c>
      <c r="LO327" s="5">
        <v>1</v>
      </c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</row>
    <row r="328" spans="1:389" x14ac:dyDescent="0.45">
      <c r="A328" s="4" t="str">
        <f ca="1">"SUR / beta1dist in "&amp;CELL("address",'damages-1990'!$J$165)</f>
        <v>SUR / beta1dist in '[BHM betas v3pd.xlsx]damages-1990'!$J$165</v>
      </c>
      <c r="B328" s="6">
        <v>0.18338501702215901</v>
      </c>
      <c r="C328" s="5">
        <v>0.17221169640245901</v>
      </c>
      <c r="D328" s="5">
        <v>0.52566598652288499</v>
      </c>
      <c r="E328" s="5">
        <v>-0.25322794495204698</v>
      </c>
      <c r="F328" s="5">
        <v>3.9175287101139003E-2</v>
      </c>
      <c r="G328" s="5">
        <v>0.26310934838844702</v>
      </c>
      <c r="H328" s="5">
        <v>-0.33937823847808002</v>
      </c>
      <c r="I328" s="5">
        <v>0.27193610547771702</v>
      </c>
      <c r="J328" s="5">
        <v>0.405482898001085</v>
      </c>
      <c r="K328" s="5">
        <v>-2.4820648684094799E-2</v>
      </c>
      <c r="L328" s="5">
        <v>0.24908688826292499</v>
      </c>
      <c r="M328" s="5">
        <v>0.13303319231715299</v>
      </c>
      <c r="N328" s="5">
        <v>-2.2402766985346399E-2</v>
      </c>
      <c r="O328" s="5">
        <v>-1.2767407661908699E-2</v>
      </c>
      <c r="P328" s="5">
        <v>0.38569673638396801</v>
      </c>
      <c r="Q328" s="5">
        <v>-0.20623106291467599</v>
      </c>
      <c r="R328" s="5">
        <v>0.368837689783096</v>
      </c>
      <c r="S328" s="5">
        <v>-4.3211173081165899E-2</v>
      </c>
      <c r="T328" s="5">
        <v>-7.9576879294187497E-2</v>
      </c>
      <c r="U328" s="5">
        <v>5.0267556912552802E-2</v>
      </c>
      <c r="V328" s="5">
        <v>0.19326850301071499</v>
      </c>
      <c r="W328" s="5">
        <v>0.164898163207016</v>
      </c>
      <c r="X328" s="5">
        <v>0.44682477316911501</v>
      </c>
      <c r="Y328" s="5">
        <v>-0.13345335485611301</v>
      </c>
      <c r="Z328" s="5">
        <v>-7.90681487683835E-2</v>
      </c>
      <c r="AA328" s="5">
        <v>0.16370921832162899</v>
      </c>
      <c r="AB328" s="5">
        <v>0.39860059314278901</v>
      </c>
      <c r="AC328" s="5">
        <v>-0.26679368961758199</v>
      </c>
      <c r="AD328" s="5">
        <v>0.35884980275018902</v>
      </c>
      <c r="AE328" s="5">
        <v>-0.22139554388659999</v>
      </c>
      <c r="AF328" s="5">
        <v>0.59831822114193201</v>
      </c>
      <c r="AG328" s="5">
        <v>-0.34315865249213501</v>
      </c>
      <c r="AH328" s="5">
        <v>3.1311477540657197E-2</v>
      </c>
      <c r="AI328" s="5">
        <v>0.197787333326919</v>
      </c>
      <c r="AJ328" s="5">
        <v>0.42073007414833102</v>
      </c>
      <c r="AK328" s="5">
        <v>-1.7224432875601201E-2</v>
      </c>
      <c r="AL328" s="5">
        <v>0.26511388710136302</v>
      </c>
      <c r="AM328" s="5">
        <v>-4.7833877346904002E-2</v>
      </c>
      <c r="AN328" s="5">
        <v>-2.39742764857141E-2</v>
      </c>
      <c r="AO328" s="5">
        <v>0.123209336813873</v>
      </c>
      <c r="AP328" s="5">
        <v>-0.181090117309127</v>
      </c>
      <c r="AQ328" s="5">
        <v>0.15095552357056799</v>
      </c>
      <c r="AR328" s="5">
        <v>0.59086251265638701</v>
      </c>
      <c r="AS328" s="5">
        <v>-0.37349432109243302</v>
      </c>
      <c r="AT328" s="5">
        <v>0.133963482978637</v>
      </c>
      <c r="AU328" s="5">
        <v>6.8821822924255996E-2</v>
      </c>
      <c r="AV328" s="5">
        <v>0.560410252699022</v>
      </c>
      <c r="AW328" s="5">
        <v>-0.29816272162129498</v>
      </c>
      <c r="AX328" s="5">
        <v>0.65583191619961001</v>
      </c>
      <c r="AY328" s="5">
        <v>-0.41391781846907399</v>
      </c>
      <c r="AZ328" s="5">
        <v>0.49187443389474</v>
      </c>
      <c r="BA328" s="5">
        <v>-0.30348326417325799</v>
      </c>
      <c r="BB328" s="5">
        <v>0.40566232384015799</v>
      </c>
      <c r="BC328" s="5">
        <v>-0.12447883217717599</v>
      </c>
      <c r="BD328" s="5">
        <v>-5.5449510484908999E-3</v>
      </c>
      <c r="BE328" s="5">
        <v>0.34885231467312</v>
      </c>
      <c r="BF328" s="5">
        <v>0.38507926989332197</v>
      </c>
      <c r="BG328" s="5">
        <v>-0.108019726760877</v>
      </c>
      <c r="BH328" s="5">
        <v>0.54163450030193805</v>
      </c>
      <c r="BI328" s="5">
        <v>-0.32038437470582098</v>
      </c>
      <c r="BJ328" s="5">
        <v>-0.40307916437017199</v>
      </c>
      <c r="BK328" s="5">
        <v>0.251250218374653</v>
      </c>
      <c r="BL328" s="5">
        <v>-8.39935545041222E-2</v>
      </c>
      <c r="BM328" s="5">
        <v>1.63953492899542E-2</v>
      </c>
      <c r="BN328" s="5">
        <v>-8.6576350639493801E-2</v>
      </c>
      <c r="BO328" s="5">
        <v>0.14978923534071401</v>
      </c>
      <c r="BP328" s="5">
        <v>-0.35651565781141897</v>
      </c>
      <c r="BQ328" s="5">
        <v>0.52242461266630602</v>
      </c>
      <c r="BR328" s="5">
        <v>0.27665757287067499</v>
      </c>
      <c r="BS328" s="5">
        <v>-0.171932145588408</v>
      </c>
      <c r="BT328" s="5">
        <v>0.54115793359626196</v>
      </c>
      <c r="BU328" s="5">
        <v>-0.31681329252358997</v>
      </c>
      <c r="BV328" s="5">
        <v>0.47856243466170101</v>
      </c>
      <c r="BW328" s="5">
        <v>-0.22205798604461099</v>
      </c>
      <c r="BX328" s="5">
        <v>0.31847601740792503</v>
      </c>
      <c r="BY328" s="5">
        <v>-0.13278172436383101</v>
      </c>
      <c r="BZ328" s="5">
        <v>0.47941277224073803</v>
      </c>
      <c r="CA328" s="5">
        <v>-0.27513215602896601</v>
      </c>
      <c r="CB328" s="5">
        <v>0.350260514413132</v>
      </c>
      <c r="CC328" s="5">
        <v>-0.17560875891767599</v>
      </c>
      <c r="CD328" s="5">
        <v>0.40021949033226201</v>
      </c>
      <c r="CE328" s="5">
        <v>-0.222375426151879</v>
      </c>
      <c r="CF328" s="5">
        <v>0.63868881968909597</v>
      </c>
      <c r="CG328" s="5">
        <v>-0.436999194324874</v>
      </c>
      <c r="CH328" s="5">
        <v>0.26672656431940001</v>
      </c>
      <c r="CI328" s="5">
        <v>-0.10829486263801701</v>
      </c>
      <c r="CJ328" s="5">
        <v>0.26850985307820302</v>
      </c>
      <c r="CK328" s="5">
        <v>6.9068716310023398E-2</v>
      </c>
      <c r="CL328" s="5">
        <v>-9.4906731198335897E-2</v>
      </c>
      <c r="CM328" s="5">
        <v>0.11162665961024699</v>
      </c>
      <c r="CN328" s="5">
        <v>-0.118077256678381</v>
      </c>
      <c r="CO328" s="5">
        <v>0.168720593537865</v>
      </c>
      <c r="CP328" s="5">
        <v>0.32445262816752002</v>
      </c>
      <c r="CQ328" s="5">
        <v>-0.18449900766945601</v>
      </c>
      <c r="CR328" s="5">
        <v>0.45011689054216503</v>
      </c>
      <c r="CS328" s="5">
        <v>-0.25854349535125398</v>
      </c>
      <c r="CT328" s="5">
        <v>-0.166105934457356</v>
      </c>
      <c r="CU328" s="5">
        <v>0.15497499514663601</v>
      </c>
      <c r="CV328" s="5">
        <v>0.35723173377887901</v>
      </c>
      <c r="CW328" s="5">
        <v>-0.18494627495159199</v>
      </c>
      <c r="CX328" s="5">
        <v>0.43263915549478799</v>
      </c>
      <c r="CY328" s="5">
        <v>-0.10814975456076301</v>
      </c>
      <c r="CZ328" s="5">
        <v>0.470149817492727</v>
      </c>
      <c r="DA328" s="5">
        <v>-0.25222671718852802</v>
      </c>
      <c r="DB328" s="5">
        <v>0.33992794806332899</v>
      </c>
      <c r="DC328" s="5">
        <v>0.14144596708589899</v>
      </c>
      <c r="DD328" s="5">
        <v>0.36517763540425502</v>
      </c>
      <c r="DE328" s="5">
        <v>-0.15917717709448501</v>
      </c>
      <c r="DF328" s="5">
        <v>0.58224041639134605</v>
      </c>
      <c r="DG328" s="5">
        <v>-0.32329518726342099</v>
      </c>
      <c r="DH328" s="5">
        <v>0.234810753736691</v>
      </c>
      <c r="DI328" s="5">
        <v>0.10025506962848001</v>
      </c>
      <c r="DJ328" s="5">
        <v>-0.232232845707946</v>
      </c>
      <c r="DK328" s="5">
        <v>0.167197918432054</v>
      </c>
      <c r="DL328" s="5">
        <v>0.42519232484395703</v>
      </c>
      <c r="DM328" s="5">
        <v>-0.164823881368029</v>
      </c>
      <c r="DN328" s="5">
        <v>-0.277863893104909</v>
      </c>
      <c r="DO328" s="5">
        <v>0.16272860295945099</v>
      </c>
      <c r="DP328" s="5">
        <v>0.12040267205030999</v>
      </c>
      <c r="DQ328" s="5">
        <v>0.15370576766309599</v>
      </c>
      <c r="DR328" s="5">
        <v>-1.02106402008032E-2</v>
      </c>
      <c r="DS328" s="5">
        <v>0.19849087148104999</v>
      </c>
      <c r="DT328" s="5">
        <v>0.33075752432912298</v>
      </c>
      <c r="DU328" s="5">
        <v>-0.15836020451192201</v>
      </c>
      <c r="DV328" s="5">
        <v>0.105983682015326</v>
      </c>
      <c r="DW328" s="5">
        <v>5.7395936679442698E-2</v>
      </c>
      <c r="DX328" s="5">
        <v>-0.21127438083428399</v>
      </c>
      <c r="DY328" s="5">
        <v>0.21649163535164401</v>
      </c>
      <c r="DZ328" s="5">
        <v>-1.7489052858617501E-2</v>
      </c>
      <c r="EA328" s="5">
        <v>6.1072640159657199E-4</v>
      </c>
      <c r="EB328" s="5">
        <v>0.444433448024047</v>
      </c>
      <c r="EC328" s="5">
        <v>-0.26304717474566103</v>
      </c>
      <c r="ED328" s="5">
        <v>0.37678575477915399</v>
      </c>
      <c r="EE328" s="5">
        <v>-0.18925209057471001</v>
      </c>
      <c r="EF328" s="5">
        <v>0.42084337195701299</v>
      </c>
      <c r="EG328" s="5">
        <v>-0.237693829801984</v>
      </c>
      <c r="EH328" s="5">
        <v>0.56193538492312201</v>
      </c>
      <c r="EI328" s="5">
        <v>-0.31335500826685603</v>
      </c>
      <c r="EJ328" s="5">
        <v>0.483183888978929</v>
      </c>
      <c r="EK328" s="5">
        <v>-0.239662953016097</v>
      </c>
      <c r="EL328" s="5">
        <v>0.55625857826122105</v>
      </c>
      <c r="EM328" s="5">
        <v>-0.37703681713298698</v>
      </c>
      <c r="EN328" s="5">
        <v>0.12989732285471001</v>
      </c>
      <c r="EO328" s="5">
        <v>0.21387541623652101</v>
      </c>
      <c r="EP328" s="5">
        <v>0.46731652074305102</v>
      </c>
      <c r="EQ328" s="5">
        <v>-0.25179185489066103</v>
      </c>
      <c r="ER328" s="5">
        <v>0.60461172983063804</v>
      </c>
      <c r="ES328" s="5">
        <v>-0.37010175487566299</v>
      </c>
      <c r="ET328" s="5">
        <v>0.68274324297185995</v>
      </c>
      <c r="EU328" s="5">
        <v>-0.45242936163976599</v>
      </c>
      <c r="EV328" s="5">
        <v>0.84155753658340704</v>
      </c>
      <c r="EW328" s="5">
        <v>-0.57472249311904999</v>
      </c>
      <c r="EX328" s="5">
        <v>0.54918997373402501</v>
      </c>
      <c r="EY328" s="5">
        <v>-0.30919724308566499</v>
      </c>
      <c r="EZ328" s="5">
        <v>0.65135382907110595</v>
      </c>
      <c r="FA328" s="5">
        <v>-0.39160237043171398</v>
      </c>
      <c r="FB328" s="5">
        <v>5.38708328502936E-2</v>
      </c>
      <c r="FC328" s="5">
        <v>0.15125793266157</v>
      </c>
      <c r="FD328" s="5">
        <v>0.41393922729160998</v>
      </c>
      <c r="FE328" s="5">
        <v>-0.234656093069782</v>
      </c>
      <c r="FF328" s="5">
        <v>3.88006969467916E-3</v>
      </c>
      <c r="FG328" s="5">
        <v>0.16619081093653801</v>
      </c>
      <c r="FH328" s="5">
        <v>0.44309886034252</v>
      </c>
      <c r="FI328" s="5">
        <v>-0.27082876926662403</v>
      </c>
      <c r="FJ328" s="5">
        <v>0.412205581625676</v>
      </c>
      <c r="FK328" s="5">
        <v>-5.27453770189358E-2</v>
      </c>
      <c r="FL328" s="5">
        <v>-0.20901860091411301</v>
      </c>
      <c r="FM328" s="5">
        <v>0.225483190234706</v>
      </c>
      <c r="FN328" s="5">
        <v>0.34050254925125401</v>
      </c>
      <c r="FO328" s="5">
        <v>5.7935275383419298E-2</v>
      </c>
      <c r="FP328" s="5">
        <v>0.41696942196167502</v>
      </c>
      <c r="FQ328" s="5">
        <v>-3.6799045908294599E-3</v>
      </c>
      <c r="FR328" s="5">
        <v>-0.15919101731486199</v>
      </c>
      <c r="FS328" s="5">
        <v>3.3755702220955399E-3</v>
      </c>
      <c r="FT328" s="5">
        <v>0.38576693686015501</v>
      </c>
      <c r="FU328" s="5">
        <v>8.1334669213051006E-2</v>
      </c>
      <c r="FV328" s="5">
        <v>0.112762093417327</v>
      </c>
      <c r="FW328" s="5">
        <v>0.17613080866341399</v>
      </c>
      <c r="FX328" s="5">
        <v>0.50667614517360104</v>
      </c>
      <c r="FY328" s="5">
        <v>-0.30061070014970398</v>
      </c>
      <c r="FZ328" s="5">
        <v>0.39812107362842097</v>
      </c>
      <c r="GA328" s="5">
        <v>8.1093009466944296E-2</v>
      </c>
      <c r="GB328" s="5">
        <v>2.4482762441895001E-2</v>
      </c>
      <c r="GC328" s="5">
        <v>0.23745983475132601</v>
      </c>
      <c r="GD328" s="5">
        <v>-0.278120082297731</v>
      </c>
      <c r="GE328" s="5">
        <v>0.28117869434815501</v>
      </c>
      <c r="GF328" s="5">
        <v>0.49034100299837202</v>
      </c>
      <c r="GG328" s="5">
        <v>-0.22781530228657401</v>
      </c>
      <c r="GH328" s="5">
        <v>-0.32500779845622702</v>
      </c>
      <c r="GI328" s="5">
        <v>0.211534866078845</v>
      </c>
      <c r="GJ328" s="5">
        <v>0.55342334626374501</v>
      </c>
      <c r="GK328" s="5">
        <v>-0.29584672266138701</v>
      </c>
      <c r="GL328" s="5">
        <v>0.37161900909206602</v>
      </c>
      <c r="GM328" s="5">
        <v>-0.176701186078736</v>
      </c>
      <c r="GN328" s="5">
        <v>3.8418242953121799E-3</v>
      </c>
      <c r="GO328" s="5">
        <v>0.32750492167439099</v>
      </c>
      <c r="GP328" s="5">
        <v>0.47963539136689398</v>
      </c>
      <c r="GQ328" s="5">
        <v>-7.4730268886577605E-2</v>
      </c>
      <c r="GR328" s="5">
        <v>0.58328698772280396</v>
      </c>
      <c r="GS328" s="5">
        <v>-0.372202623456721</v>
      </c>
      <c r="GT328" s="5">
        <v>0.27994798842056901</v>
      </c>
      <c r="GU328" s="5">
        <v>9.399884620849E-2</v>
      </c>
      <c r="GV328" s="5">
        <v>0.21528621927064301</v>
      </c>
      <c r="GW328" s="5">
        <v>-0.127192617544714</v>
      </c>
      <c r="GX328" s="5">
        <v>0.29680494315067601</v>
      </c>
      <c r="GY328" s="5">
        <v>5.7594296537204603E-2</v>
      </c>
      <c r="GZ328" s="5">
        <v>-8.1977383964532705E-2</v>
      </c>
      <c r="HA328" s="5">
        <v>2.5062516049112402E-2</v>
      </c>
      <c r="HB328" s="5">
        <v>0.42405594005019798</v>
      </c>
      <c r="HC328" s="5">
        <v>-0.21398634331111699</v>
      </c>
      <c r="HD328" s="5">
        <v>9.7035805842049794E-2</v>
      </c>
      <c r="HE328" s="5">
        <v>0.17249352379920099</v>
      </c>
      <c r="HF328" s="5">
        <v>-0.21054685796898601</v>
      </c>
      <c r="HG328" s="5">
        <v>0.17798133452069101</v>
      </c>
      <c r="HH328" s="5">
        <v>-0.11197355533704199</v>
      </c>
      <c r="HI328" s="5">
        <v>0.180400397542124</v>
      </c>
      <c r="HJ328" s="5">
        <v>-0.22476277847905601</v>
      </c>
      <c r="HK328" s="5">
        <v>0.172897373129553</v>
      </c>
      <c r="HL328" s="5">
        <v>0.49401068739132997</v>
      </c>
      <c r="HM328" s="5">
        <v>-0.19997536297079699</v>
      </c>
      <c r="HN328" s="5">
        <v>1.06112359704995E-2</v>
      </c>
      <c r="HO328" s="5">
        <v>0.13214484456728101</v>
      </c>
      <c r="HP328" s="5">
        <v>0.170543658489856</v>
      </c>
      <c r="HQ328" s="5">
        <v>0.18768464412958699</v>
      </c>
      <c r="HR328" s="5">
        <v>0.47817025290752702</v>
      </c>
      <c r="HS328" s="5">
        <v>-0.17093895187960201</v>
      </c>
      <c r="HT328" s="5">
        <v>-1.88773580216362E-2</v>
      </c>
      <c r="HU328" s="5">
        <v>0.22853594609955799</v>
      </c>
      <c r="HV328" s="5">
        <v>0.37139281991059497</v>
      </c>
      <c r="HW328" s="5">
        <v>-0.15621334168694301</v>
      </c>
      <c r="HX328" s="5">
        <v>0.46199407961114602</v>
      </c>
      <c r="HY328" s="5">
        <v>-0.218861727755264</v>
      </c>
      <c r="HZ328" s="5">
        <v>-8.45763301776324E-2</v>
      </c>
      <c r="IA328" s="5">
        <v>0.13816221569699599</v>
      </c>
      <c r="IB328" s="5">
        <v>-0.52460589977026095</v>
      </c>
      <c r="IC328" s="5">
        <v>0.462274588336132</v>
      </c>
      <c r="ID328" s="5">
        <v>0.31524560151049902</v>
      </c>
      <c r="IE328" s="5">
        <v>5.9034839920780097E-2</v>
      </c>
      <c r="IF328" s="5">
        <v>0.45449096383798299</v>
      </c>
      <c r="IG328" s="5">
        <v>-0.19398672622145299</v>
      </c>
      <c r="IH328" s="5">
        <v>0.47493777919744701</v>
      </c>
      <c r="II328" s="5">
        <v>-0.28198007573874001</v>
      </c>
      <c r="IJ328" s="5">
        <v>0.27982594796425703</v>
      </c>
      <c r="IK328" s="5">
        <v>-0.16563882901888999</v>
      </c>
      <c r="IL328" s="5">
        <v>0.365376378537835</v>
      </c>
      <c r="IM328" s="5">
        <v>1.86268085297078E-2</v>
      </c>
      <c r="IN328" s="5">
        <v>0.57512302695797202</v>
      </c>
      <c r="IO328" s="5">
        <v>-0.38068873602474301</v>
      </c>
      <c r="IP328" s="5">
        <v>0.46607884264112898</v>
      </c>
      <c r="IQ328" s="5">
        <v>-0.17483416580508401</v>
      </c>
      <c r="IR328" s="5">
        <v>0.21299162586979301</v>
      </c>
      <c r="IS328" s="5">
        <v>8.1314829788117302E-3</v>
      </c>
      <c r="IT328" s="5">
        <v>0.35650096827663902</v>
      </c>
      <c r="IU328" s="5">
        <v>-0.11035955708002</v>
      </c>
      <c r="IV328" s="5">
        <v>0.25955215614642901</v>
      </c>
      <c r="IW328" s="5">
        <v>-0.106077185056399</v>
      </c>
      <c r="IX328" s="5">
        <v>0.68620693613291806</v>
      </c>
      <c r="IY328" s="5">
        <v>-0.45120046046724499</v>
      </c>
      <c r="IZ328" s="5">
        <v>-6.3429813723623094E-2</v>
      </c>
      <c r="JA328" s="5">
        <v>0.125007022839314</v>
      </c>
      <c r="JB328" s="5">
        <v>-0.260192826709154</v>
      </c>
      <c r="JC328" s="5">
        <v>0.134264259361358</v>
      </c>
      <c r="JD328" s="5">
        <v>0.169534586274875</v>
      </c>
      <c r="JE328" s="5">
        <v>0.18109224911925401</v>
      </c>
      <c r="JF328" s="5">
        <v>0.37663955389556703</v>
      </c>
      <c r="JG328" s="5">
        <v>-0.251417943347583</v>
      </c>
      <c r="JH328" s="5">
        <v>0.102238539494688</v>
      </c>
      <c r="JI328" s="5">
        <v>-4.79873403852814E-2</v>
      </c>
      <c r="JJ328" s="5">
        <v>0.489407366367755</v>
      </c>
      <c r="JK328" s="5">
        <v>-0.1204433410696</v>
      </c>
      <c r="JL328" s="5">
        <v>0.466637004400904</v>
      </c>
      <c r="JM328" s="5">
        <v>-9.6648380704745102E-2</v>
      </c>
      <c r="JN328" s="5">
        <v>0.48238109750229102</v>
      </c>
      <c r="JO328" s="5">
        <v>-0.30236318360812497</v>
      </c>
      <c r="JP328" s="5">
        <v>0.54149817206708895</v>
      </c>
      <c r="JQ328" s="5">
        <v>-0.30881121015119001</v>
      </c>
      <c r="JR328" s="5">
        <v>0.39065931263440501</v>
      </c>
      <c r="JS328" s="5">
        <v>-0.107594321777653</v>
      </c>
      <c r="JT328" s="5">
        <v>0.137042933285139</v>
      </c>
      <c r="JU328" s="5">
        <v>7.9907119943074506E-2</v>
      </c>
      <c r="JV328" s="5">
        <v>0.38977630811362901</v>
      </c>
      <c r="JW328" s="5">
        <v>-5.6227164522241101E-2</v>
      </c>
      <c r="JX328" s="5">
        <v>-0.13826100788277501</v>
      </c>
      <c r="JY328" s="5">
        <v>0.161506426537601</v>
      </c>
      <c r="JZ328" s="5">
        <v>0.44822538667419798</v>
      </c>
      <c r="KA328" s="5">
        <v>-0.23984271540817501</v>
      </c>
      <c r="KB328" s="5">
        <v>-0.33198365623130399</v>
      </c>
      <c r="KC328" s="5">
        <v>0.33132999176156402</v>
      </c>
      <c r="KD328" s="5">
        <v>0.38041356130470899</v>
      </c>
      <c r="KE328" s="5">
        <v>-2.90759160200675E-2</v>
      </c>
      <c r="KF328" s="5">
        <v>0.39384160483049302</v>
      </c>
      <c r="KG328" s="5">
        <v>-0.170635479285597</v>
      </c>
      <c r="KH328" s="5">
        <v>0.34952366080501601</v>
      </c>
      <c r="KI328" s="5">
        <v>0.11732372974151201</v>
      </c>
      <c r="KJ328" s="5">
        <v>0.440059603492439</v>
      </c>
      <c r="KK328" s="5">
        <v>-3.66541632386847E-2</v>
      </c>
      <c r="KL328" s="5">
        <v>0.27565535393746898</v>
      </c>
      <c r="KM328" s="5">
        <v>-0.123244346896504</v>
      </c>
      <c r="KN328" s="5">
        <v>-1.7118070357598401E-2</v>
      </c>
      <c r="KO328" s="5">
        <v>0.11494724289793</v>
      </c>
      <c r="KP328" s="5">
        <v>-0.44566624705435398</v>
      </c>
      <c r="KQ328" s="5">
        <v>0.28957300292685501</v>
      </c>
      <c r="KR328" s="5">
        <v>0.43076575913203702</v>
      </c>
      <c r="KS328" s="5">
        <v>-0.18981723414543999</v>
      </c>
      <c r="KT328" s="5">
        <v>0.53132714274719095</v>
      </c>
      <c r="KU328" s="5">
        <v>-0.169722489098659</v>
      </c>
      <c r="KV328" s="5">
        <v>0.53665279809181399</v>
      </c>
      <c r="KW328" s="5">
        <v>-0.29415321407506301</v>
      </c>
      <c r="KX328" s="5">
        <v>0.51619804391030499</v>
      </c>
      <c r="KY328" s="5">
        <v>-0.27479846077894499</v>
      </c>
      <c r="KZ328" s="5">
        <v>0.237743701762622</v>
      </c>
      <c r="LA328" s="5">
        <v>-6.9739351321547599E-2</v>
      </c>
      <c r="LB328" s="5">
        <v>0.60414701936543103</v>
      </c>
      <c r="LC328" s="5">
        <v>-0.389818225290538</v>
      </c>
      <c r="LD328" s="5">
        <v>0.59221793957995905</v>
      </c>
      <c r="LE328" s="5">
        <v>-0.35450179385901098</v>
      </c>
      <c r="LF328" s="5">
        <v>4.4451889215784302E-2</v>
      </c>
      <c r="LG328" s="5">
        <v>0.15911338134926001</v>
      </c>
      <c r="LH328" s="5">
        <v>0.62900475178484405</v>
      </c>
      <c r="LI328" s="5">
        <v>-0.36150808336611001</v>
      </c>
      <c r="LJ328" s="5">
        <v>9.0782044154015008E-3</v>
      </c>
      <c r="LK328" s="5">
        <v>0.21140888879331701</v>
      </c>
      <c r="LL328" s="5">
        <v>0.49945288524463199</v>
      </c>
      <c r="LM328" s="5">
        <v>-0.29361246556195902</v>
      </c>
      <c r="LN328" s="5">
        <v>0.38622937184556599</v>
      </c>
      <c r="LO328" s="5">
        <v>-0.21028160919201599</v>
      </c>
      <c r="LP328" s="5">
        <v>1</v>
      </c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</row>
    <row r="329" spans="1:389" x14ac:dyDescent="0.45">
      <c r="A329" s="4" t="str">
        <f ca="1">"SUR / beta2dist in "&amp;CELL("address",'damages-1990'!$K$165)</f>
        <v>SUR / beta2dist in '[BHM betas v3pd.xlsx]damages-1990'!$K$165</v>
      </c>
      <c r="B329" s="6">
        <v>-0.11608929462838399</v>
      </c>
      <c r="C329" s="5">
        <v>8.1440580386851896E-2</v>
      </c>
      <c r="D329" s="5">
        <v>-0.40354589439101002</v>
      </c>
      <c r="E329" s="5">
        <v>0.56499812770829905</v>
      </c>
      <c r="F329" s="5">
        <v>6.7427272413995197E-3</v>
      </c>
      <c r="G329" s="5">
        <v>-0.112182968812287</v>
      </c>
      <c r="H329" s="5">
        <v>0.188733960068343</v>
      </c>
      <c r="I329" s="5">
        <v>-0.19634987661831901</v>
      </c>
      <c r="J329" s="5">
        <v>-0.190998136144373</v>
      </c>
      <c r="K329" s="5">
        <v>0.19138181332353299</v>
      </c>
      <c r="L329" s="5">
        <v>-4.99517230912725E-2</v>
      </c>
      <c r="M329" s="5">
        <v>-5.6729736592553502E-2</v>
      </c>
      <c r="N329" s="5">
        <v>-4.11385378499824E-2</v>
      </c>
      <c r="O329" s="5">
        <v>5.2816813586853799E-2</v>
      </c>
      <c r="P329" s="5">
        <v>-0.42674205653525599</v>
      </c>
      <c r="Q329" s="5">
        <v>0.49542135737959903</v>
      </c>
      <c r="R329" s="5">
        <v>-0.20249838799550901</v>
      </c>
      <c r="S329" s="5">
        <v>0.30080426979798802</v>
      </c>
      <c r="T329" s="5">
        <v>-9.4938821659093398E-2</v>
      </c>
      <c r="U329" s="5">
        <v>0.118931482823183</v>
      </c>
      <c r="V329" s="5">
        <v>-5.1005862402655602E-2</v>
      </c>
      <c r="W329" s="5">
        <v>-6.0018111297292703E-2</v>
      </c>
      <c r="X329" s="5">
        <v>-0.36057027077258302</v>
      </c>
      <c r="Y329" s="5">
        <v>0.44397536871014698</v>
      </c>
      <c r="Z329" s="5">
        <v>-1.5349909756411E-2</v>
      </c>
      <c r="AA329" s="5">
        <v>1.18798107840986E-2</v>
      </c>
      <c r="AB329" s="5">
        <v>-0.34967264593213598</v>
      </c>
      <c r="AC329" s="5">
        <v>0.57808891803831697</v>
      </c>
      <c r="AD329" s="5">
        <v>-0.31934983003210499</v>
      </c>
      <c r="AE329" s="5">
        <v>0.53872444208991199</v>
      </c>
      <c r="AF329" s="5">
        <v>-0.38558229704445302</v>
      </c>
      <c r="AG329" s="5">
        <v>0.46455423351199099</v>
      </c>
      <c r="AH329" s="5">
        <v>-2.5499437127409898E-2</v>
      </c>
      <c r="AI329" s="5">
        <v>-4.4329970975397003E-2</v>
      </c>
      <c r="AJ329" s="5">
        <v>-0.26551461950210797</v>
      </c>
      <c r="AK329" s="5">
        <v>0.21518885622937201</v>
      </c>
      <c r="AL329" s="5">
        <v>2.6331768718586401E-2</v>
      </c>
      <c r="AM329" s="5">
        <v>-5.5838913523786497E-2</v>
      </c>
      <c r="AN329" s="5">
        <v>-7.4299919785116797E-2</v>
      </c>
      <c r="AO329" s="5">
        <v>6.5408094398316297E-2</v>
      </c>
      <c r="AP329" s="5">
        <v>-4.1416811721266399E-2</v>
      </c>
      <c r="AQ329" s="5">
        <v>9.1323354490599695E-2</v>
      </c>
      <c r="AR329" s="5">
        <v>-0.39496019281386502</v>
      </c>
      <c r="AS329" s="5">
        <v>0.50711437541881998</v>
      </c>
      <c r="AT329" s="5">
        <v>0.12971676784014</v>
      </c>
      <c r="AU329" s="5">
        <v>-0.174285016774577</v>
      </c>
      <c r="AV329" s="5">
        <v>-0.33552136570579399</v>
      </c>
      <c r="AW329" s="5">
        <v>0.52783078892226298</v>
      </c>
      <c r="AX329" s="5">
        <v>-0.46196460020762498</v>
      </c>
      <c r="AY329" s="5">
        <v>0.68014202364619103</v>
      </c>
      <c r="AZ329" s="5">
        <v>-0.485372469103513</v>
      </c>
      <c r="BA329" s="5">
        <v>0.54508606867901199</v>
      </c>
      <c r="BB329" s="5">
        <v>-0.197492814249075</v>
      </c>
      <c r="BC329" s="5">
        <v>0.32704947591248501</v>
      </c>
      <c r="BD329" s="5">
        <v>-7.5943220660933302E-3</v>
      </c>
      <c r="BE329" s="5">
        <v>-6.1753173512527702E-2</v>
      </c>
      <c r="BF329" s="5">
        <v>-0.29042995894534401</v>
      </c>
      <c r="BG329" s="5">
        <v>0.36029971044100101</v>
      </c>
      <c r="BH329" s="5">
        <v>-0.40894482522905001</v>
      </c>
      <c r="BI329" s="5">
        <v>0.62302658839692504</v>
      </c>
      <c r="BJ329" s="5">
        <v>0.15475410599178199</v>
      </c>
      <c r="BK329" s="5">
        <v>-0.21895171284710799</v>
      </c>
      <c r="BL329" s="5">
        <v>-0.115407839321262</v>
      </c>
      <c r="BM329" s="5">
        <v>0.148825374978933</v>
      </c>
      <c r="BN329" s="5">
        <v>3.5444980991963602E-2</v>
      </c>
      <c r="BO329" s="5">
        <v>-0.101114420835988</v>
      </c>
      <c r="BP329" s="5">
        <v>0.255043985765885</v>
      </c>
      <c r="BQ329" s="5">
        <v>-0.44796260534474902</v>
      </c>
      <c r="BR329" s="5">
        <v>-0.30148421235336198</v>
      </c>
      <c r="BS329" s="5">
        <v>0.54269816583877495</v>
      </c>
      <c r="BT329" s="5">
        <v>-0.381863485403799</v>
      </c>
      <c r="BU329" s="5">
        <v>0.61859244686354398</v>
      </c>
      <c r="BV329" s="5">
        <v>-0.35510860658933902</v>
      </c>
      <c r="BW329" s="5">
        <v>0.53760323960767997</v>
      </c>
      <c r="BX329" s="5">
        <v>-0.23699730039119299</v>
      </c>
      <c r="BY329" s="5">
        <v>0.46638476423023101</v>
      </c>
      <c r="BZ329" s="5">
        <v>-0.37213873704876999</v>
      </c>
      <c r="CA329" s="5">
        <v>0.57433260246145401</v>
      </c>
      <c r="CB329" s="5">
        <v>-0.25593247278070602</v>
      </c>
      <c r="CC329" s="5">
        <v>0.38382328328711002</v>
      </c>
      <c r="CD329" s="5">
        <v>-0.25487913521439998</v>
      </c>
      <c r="CE329" s="5">
        <v>0.30264653499706701</v>
      </c>
      <c r="CF329" s="5">
        <v>-0.61305330863556395</v>
      </c>
      <c r="CG329" s="5">
        <v>0.70142633892550399</v>
      </c>
      <c r="CH329" s="5">
        <v>9.0911957442670298E-3</v>
      </c>
      <c r="CI329" s="5">
        <v>1.50531360169791E-2</v>
      </c>
      <c r="CJ329" s="5">
        <v>-9.5670916783684501E-2</v>
      </c>
      <c r="CK329" s="5">
        <v>-3.16569258159939E-2</v>
      </c>
      <c r="CL329" s="5">
        <v>-3.0319657956248101E-2</v>
      </c>
      <c r="CM329" s="5">
        <v>4.3286373701220897E-2</v>
      </c>
      <c r="CN329" s="5">
        <v>3.1604444358510498E-3</v>
      </c>
      <c r="CO329" s="5">
        <v>-3.3490038126115901E-3</v>
      </c>
      <c r="CP329" s="5">
        <v>-0.33950558278172899</v>
      </c>
      <c r="CQ329" s="5">
        <v>0.46951890079952402</v>
      </c>
      <c r="CR329" s="5">
        <v>-0.47623674177665998</v>
      </c>
      <c r="CS329" s="5">
        <v>0.54861955049715305</v>
      </c>
      <c r="CT329" s="5">
        <v>2.3467963922205199E-2</v>
      </c>
      <c r="CU329" s="5">
        <v>1.09331009704275E-2</v>
      </c>
      <c r="CV329" s="5">
        <v>-0.34499071785062502</v>
      </c>
      <c r="CW329" s="5">
        <v>0.45035152451314903</v>
      </c>
      <c r="CX329" s="5">
        <v>-0.30387887148405901</v>
      </c>
      <c r="CY329" s="5">
        <v>0.36812072960898001</v>
      </c>
      <c r="CZ329" s="5">
        <v>-0.39065718178180803</v>
      </c>
      <c r="DA329" s="5">
        <v>0.538943663573764</v>
      </c>
      <c r="DB329" s="5">
        <v>-0.13428320101135899</v>
      </c>
      <c r="DC329" s="5">
        <v>2.1368681283076198E-2</v>
      </c>
      <c r="DD329" s="5">
        <v>-0.330181394993318</v>
      </c>
      <c r="DE329" s="5">
        <v>0.45428454971673499</v>
      </c>
      <c r="DF329" s="5">
        <v>-0.40561307825362902</v>
      </c>
      <c r="DG329" s="5">
        <v>0.47109483992376</v>
      </c>
      <c r="DH329" s="5">
        <v>-0.17225481303314599</v>
      </c>
      <c r="DI329" s="5">
        <v>0.135547109234539</v>
      </c>
      <c r="DJ329" s="5">
        <v>1.6124270734341E-3</v>
      </c>
      <c r="DK329" s="5">
        <v>6.2417499637776E-2</v>
      </c>
      <c r="DL329" s="5">
        <v>-0.294086762048265</v>
      </c>
      <c r="DM329" s="5">
        <v>0.44140154318166003</v>
      </c>
      <c r="DN329" s="5">
        <v>2.5587514259490799E-2</v>
      </c>
      <c r="DO329" s="5">
        <v>3.8667124529577698E-2</v>
      </c>
      <c r="DP329" s="5">
        <v>0.18518661202933101</v>
      </c>
      <c r="DQ329" s="5">
        <v>-0.24974483904752101</v>
      </c>
      <c r="DR329" s="5">
        <v>-3.2427008598657298E-2</v>
      </c>
      <c r="DS329" s="5">
        <v>6.2296835604522998E-3</v>
      </c>
      <c r="DT329" s="5">
        <v>-0.31869792424573401</v>
      </c>
      <c r="DU329" s="5">
        <v>0.320815861443915</v>
      </c>
      <c r="DV329" s="5">
        <v>-8.8834573119305593E-2</v>
      </c>
      <c r="DW329" s="5">
        <v>0.272229504345813</v>
      </c>
      <c r="DX329" s="5">
        <v>6.8130253760655402E-2</v>
      </c>
      <c r="DY329" s="5">
        <v>-4.1392552030759297E-2</v>
      </c>
      <c r="DZ329" s="5">
        <v>-6.8409428532241606E-2</v>
      </c>
      <c r="EA329" s="5">
        <v>0.106821921754612</v>
      </c>
      <c r="EB329" s="5">
        <v>-0.41904521160832497</v>
      </c>
      <c r="EC329" s="5">
        <v>0.60410492142354899</v>
      </c>
      <c r="ED329" s="5">
        <v>-0.33216584978756097</v>
      </c>
      <c r="EE329" s="5">
        <v>0.533237615428932</v>
      </c>
      <c r="EF329" s="5">
        <v>-0.47588426458147798</v>
      </c>
      <c r="EG329" s="5">
        <v>0.53508660466620395</v>
      </c>
      <c r="EH329" s="5">
        <v>-0.41430261120706202</v>
      </c>
      <c r="EI329" s="5">
        <v>0.56962572959865598</v>
      </c>
      <c r="EJ329" s="5">
        <v>-0.371264566721489</v>
      </c>
      <c r="EK329" s="5">
        <v>0.53757213203578202</v>
      </c>
      <c r="EL329" s="5">
        <v>-0.41431742010262201</v>
      </c>
      <c r="EM329" s="5">
        <v>0.62322108229333095</v>
      </c>
      <c r="EN329" s="5">
        <v>5.8186526164326999E-2</v>
      </c>
      <c r="EO329" s="5">
        <v>-0.200526150137017</v>
      </c>
      <c r="EP329" s="5">
        <v>-0.46625745139345698</v>
      </c>
      <c r="EQ329" s="5">
        <v>0.51240361716678196</v>
      </c>
      <c r="ER329" s="5">
        <v>-0.42360444288108701</v>
      </c>
      <c r="ES329" s="5">
        <v>0.56199461429784203</v>
      </c>
      <c r="ET329" s="5">
        <v>-0.50580700334282003</v>
      </c>
      <c r="EU329" s="5">
        <v>0.65586642097650005</v>
      </c>
      <c r="EV329" s="5">
        <v>-0.72052532414284098</v>
      </c>
      <c r="EW329" s="5">
        <v>0.84878139751966097</v>
      </c>
      <c r="EX329" s="5">
        <v>-0.27593428888202098</v>
      </c>
      <c r="EY329" s="5">
        <v>0.3586084303923</v>
      </c>
      <c r="EZ329" s="5">
        <v>-0.48442594776768999</v>
      </c>
      <c r="FA329" s="5">
        <v>0.61429210941594803</v>
      </c>
      <c r="FB329" s="5">
        <v>-5.8918159022138601E-2</v>
      </c>
      <c r="FC329" s="5">
        <v>2.0717830570603401E-2</v>
      </c>
      <c r="FD329" s="5">
        <v>-0.31259334583137499</v>
      </c>
      <c r="FE329" s="5">
        <v>0.43093704594369597</v>
      </c>
      <c r="FF329" s="5">
        <v>-2.6998161084764698E-2</v>
      </c>
      <c r="FG329" s="5">
        <v>-1.3534092698048301E-2</v>
      </c>
      <c r="FH329" s="5">
        <v>-9.5382619908909796E-2</v>
      </c>
      <c r="FI329" s="5">
        <v>0.23195672928212399</v>
      </c>
      <c r="FJ329" s="5">
        <v>-0.27185773306962402</v>
      </c>
      <c r="FK329" s="5">
        <v>0.31450982554305701</v>
      </c>
      <c r="FL329" s="5">
        <v>0.15115954316360899</v>
      </c>
      <c r="FM329" s="5">
        <v>-0.14871381648961801</v>
      </c>
      <c r="FN329" s="5">
        <v>-0.18664867106629801</v>
      </c>
      <c r="FO329" s="5">
        <v>0.12048185959686</v>
      </c>
      <c r="FP329" s="5">
        <v>-0.21204401407687301</v>
      </c>
      <c r="FQ329" s="5">
        <v>0.115242806949947</v>
      </c>
      <c r="FR329" s="5">
        <v>0.19962348279536099</v>
      </c>
      <c r="FS329" s="5">
        <v>-9.0905343358122406E-2</v>
      </c>
      <c r="FT329" s="5">
        <v>-0.192009304641795</v>
      </c>
      <c r="FU329" s="5">
        <v>6.6259491659621306E-2</v>
      </c>
      <c r="FV329" s="5">
        <v>-4.1698460034375197E-2</v>
      </c>
      <c r="FW329" s="5">
        <v>-1.03310152249262E-2</v>
      </c>
      <c r="FX329" s="5">
        <v>-0.37798387946183598</v>
      </c>
      <c r="FY329" s="5">
        <v>0.46452681829075299</v>
      </c>
      <c r="FZ329" s="5">
        <v>-0.18755487324054901</v>
      </c>
      <c r="GA329" s="5">
        <v>7.4891032708632801E-2</v>
      </c>
      <c r="GB329" s="5">
        <v>-4.7821845786264403E-2</v>
      </c>
      <c r="GC329" s="5">
        <v>-4.5873555028366399E-3</v>
      </c>
      <c r="GD329" s="5">
        <v>0.11668959435773001</v>
      </c>
      <c r="GE329" s="5">
        <v>-0.120507987970648</v>
      </c>
      <c r="GF329" s="5">
        <v>-0.31870693566718999</v>
      </c>
      <c r="GG329" s="5">
        <v>0.47778266949611198</v>
      </c>
      <c r="GH329" s="5">
        <v>0.32367433298569898</v>
      </c>
      <c r="GI329" s="5">
        <v>-0.39547428999413398</v>
      </c>
      <c r="GJ329" s="5">
        <v>-0.31487053166400197</v>
      </c>
      <c r="GK329" s="5">
        <v>0.406155641947617</v>
      </c>
      <c r="GL329" s="5">
        <v>-0.422326828148473</v>
      </c>
      <c r="GM329" s="5">
        <v>0.45771726202930402</v>
      </c>
      <c r="GN329" s="5">
        <v>4.8360911758315896E-3</v>
      </c>
      <c r="GO329" s="5">
        <v>-9.1254373906932695E-2</v>
      </c>
      <c r="GP329" s="5">
        <v>-0.30057696708565201</v>
      </c>
      <c r="GQ329" s="5">
        <v>0.24613575598201001</v>
      </c>
      <c r="GR329" s="5">
        <v>-0.37030958661693097</v>
      </c>
      <c r="GS329" s="5">
        <v>0.512177190186344</v>
      </c>
      <c r="GT329" s="5">
        <v>-0.106894129110712</v>
      </c>
      <c r="GU329" s="5">
        <v>-1.43861344067842E-2</v>
      </c>
      <c r="GV329" s="5">
        <v>-0.17932055610320199</v>
      </c>
      <c r="GW329" s="5">
        <v>0.44244222401288602</v>
      </c>
      <c r="GX329" s="5">
        <v>-0.114001048417506</v>
      </c>
      <c r="GY329" s="5">
        <v>8.6993550768202602E-2</v>
      </c>
      <c r="GZ329" s="5">
        <v>-0.115703867474699</v>
      </c>
      <c r="HA329" s="5">
        <v>0.14148380247601</v>
      </c>
      <c r="HB329" s="5">
        <v>-0.220186892864662</v>
      </c>
      <c r="HC329" s="5">
        <v>0.393240139527814</v>
      </c>
      <c r="HD329" s="5">
        <v>-9.9943686492523998E-2</v>
      </c>
      <c r="HE329" s="5">
        <v>0.13012136787325501</v>
      </c>
      <c r="HF329" s="5">
        <v>5.1910513830527704E-3</v>
      </c>
      <c r="HG329" s="5">
        <v>3.9339947881155503E-2</v>
      </c>
      <c r="HH329" s="5">
        <v>3.8573078345381499E-3</v>
      </c>
      <c r="HI329" s="5">
        <v>-1.15795588735582E-2</v>
      </c>
      <c r="HJ329" s="5">
        <v>6.3077210137053004E-3</v>
      </c>
      <c r="HK329" s="5">
        <v>4.7496310609504398E-2</v>
      </c>
      <c r="HL329" s="5">
        <v>-0.36206931267843201</v>
      </c>
      <c r="HM329" s="5">
        <v>0.43558533384645898</v>
      </c>
      <c r="HN329" s="5">
        <v>-6.4553546857264596E-2</v>
      </c>
      <c r="HO329" s="5">
        <v>4.94911582343679E-2</v>
      </c>
      <c r="HP329" s="5">
        <v>0.12522988824592499</v>
      </c>
      <c r="HQ329" s="5">
        <v>-6.6350612902410205E-2</v>
      </c>
      <c r="HR329" s="5">
        <v>-0.21724912655609999</v>
      </c>
      <c r="HS329" s="5">
        <v>0.30590003152252998</v>
      </c>
      <c r="HT329" s="5">
        <v>-1.7577628401528701E-2</v>
      </c>
      <c r="HU329" s="5">
        <v>-4.1784492611560101E-2</v>
      </c>
      <c r="HV329" s="5">
        <v>-0.27471132213678101</v>
      </c>
      <c r="HW329" s="5">
        <v>0.44282750671787402</v>
      </c>
      <c r="HX329" s="5">
        <v>-0.26988359310082799</v>
      </c>
      <c r="HY329" s="5">
        <v>0.44320628115443</v>
      </c>
      <c r="HZ329" s="5">
        <v>-4.2258128767856701E-2</v>
      </c>
      <c r="IA329" s="5">
        <v>4.8052749527592503E-2</v>
      </c>
      <c r="IB329" s="5">
        <v>0.45373985910978099</v>
      </c>
      <c r="IC329" s="5">
        <v>-0.48936865416648201</v>
      </c>
      <c r="ID329" s="5">
        <v>-6.1330023761968402E-2</v>
      </c>
      <c r="IE329" s="5">
        <v>0.118992361153759</v>
      </c>
      <c r="IF329" s="5">
        <v>-0.30014704916141599</v>
      </c>
      <c r="IG329" s="5">
        <v>0.43739154651238599</v>
      </c>
      <c r="IH329" s="5">
        <v>-0.48915607484038898</v>
      </c>
      <c r="II329" s="5">
        <v>0.56303027353546398</v>
      </c>
      <c r="IJ329" s="5">
        <v>-0.221803851930714</v>
      </c>
      <c r="IK329" s="5">
        <v>0.27971208367616701</v>
      </c>
      <c r="IL329" s="5">
        <v>-7.9896386549740406E-2</v>
      </c>
      <c r="IM329" s="5">
        <v>0.10289884561245299</v>
      </c>
      <c r="IN329" s="5">
        <v>-0.30185570496241099</v>
      </c>
      <c r="IO329" s="5">
        <v>0.49196957999413399</v>
      </c>
      <c r="IP329" s="5">
        <v>-0.36070998037913998</v>
      </c>
      <c r="IQ329" s="5">
        <v>0.46792393423957601</v>
      </c>
      <c r="IR329" s="5">
        <v>5.7931636395546103E-3</v>
      </c>
      <c r="IS329" s="5">
        <v>-1.67056947515608E-2</v>
      </c>
      <c r="IT329" s="5">
        <v>-0.23178366202123099</v>
      </c>
      <c r="IU329" s="5">
        <v>0.366197183040189</v>
      </c>
      <c r="IV329" s="5">
        <v>-0.23689341865974101</v>
      </c>
      <c r="IW329" s="5">
        <v>0.446695556646031</v>
      </c>
      <c r="IX329" s="5">
        <v>-0.58102126037183</v>
      </c>
      <c r="IY329" s="5">
        <v>0.71387863769954296</v>
      </c>
      <c r="IZ329" s="5">
        <v>-3.0080092850068098E-2</v>
      </c>
      <c r="JA329" s="5">
        <v>3.3092383297824303E-2</v>
      </c>
      <c r="JB329" s="5">
        <v>-8.2647363172585401E-4</v>
      </c>
      <c r="JC329" s="5">
        <v>7.3525438574745403E-2</v>
      </c>
      <c r="JD329" s="5">
        <v>-9.3804519067587799E-2</v>
      </c>
      <c r="JE329" s="5">
        <v>9.4684473248430004E-2</v>
      </c>
      <c r="JF329" s="5">
        <v>-0.321167740742617</v>
      </c>
      <c r="JG329" s="5">
        <v>0.42141898198363797</v>
      </c>
      <c r="JH329" s="5">
        <v>-0.145557505199325</v>
      </c>
      <c r="JI329" s="5">
        <v>0.171708156419657</v>
      </c>
      <c r="JJ329" s="5">
        <v>-0.31944711985364799</v>
      </c>
      <c r="JK329" s="5">
        <v>0.38701786804934502</v>
      </c>
      <c r="JL329" s="5">
        <v>-0.31784673854006901</v>
      </c>
      <c r="JM329" s="5">
        <v>0.33559982859465898</v>
      </c>
      <c r="JN329" s="5">
        <v>-0.465144604081699</v>
      </c>
      <c r="JO329" s="5">
        <v>0.61131176524748099</v>
      </c>
      <c r="JP329" s="5">
        <v>-0.37308678384210398</v>
      </c>
      <c r="JQ329" s="5">
        <v>0.59184434128785102</v>
      </c>
      <c r="JR329" s="5">
        <v>-7.2228017996408295E-2</v>
      </c>
      <c r="JS329" s="5">
        <v>0.16241132537306299</v>
      </c>
      <c r="JT329" s="5">
        <v>0.11669479610476401</v>
      </c>
      <c r="JU329" s="5">
        <v>-0.112327811941873</v>
      </c>
      <c r="JV329" s="5">
        <v>-8.8176284771798896E-2</v>
      </c>
      <c r="JW329" s="5">
        <v>0.13858843395050199</v>
      </c>
      <c r="JX329" s="5">
        <v>-3.0526904908328599E-3</v>
      </c>
      <c r="JY329" s="5">
        <v>1.74160725424512E-2</v>
      </c>
      <c r="JZ329" s="5">
        <v>-0.52201783471219398</v>
      </c>
      <c r="KA329" s="5">
        <v>0.55554484539142901</v>
      </c>
      <c r="KB329" s="5">
        <v>9.7097910036163207E-2</v>
      </c>
      <c r="KC329" s="5">
        <v>-9.7077929732919899E-2</v>
      </c>
      <c r="KD329" s="5">
        <v>-0.240876423601215</v>
      </c>
      <c r="KE329" s="5">
        <v>0.14873475902032601</v>
      </c>
      <c r="KF329" s="5">
        <v>-0.15127237620341</v>
      </c>
      <c r="KG329" s="5">
        <v>0.184817480090151</v>
      </c>
      <c r="KH329" s="5">
        <v>-0.16459229536617501</v>
      </c>
      <c r="KI329" s="5">
        <v>2.63323405263318E-2</v>
      </c>
      <c r="KJ329" s="5">
        <v>-0.26237855185110198</v>
      </c>
      <c r="KK329" s="5">
        <v>0.22529083226023</v>
      </c>
      <c r="KL329" s="5">
        <v>-0.121805904612994</v>
      </c>
      <c r="KM329" s="5">
        <v>0.17324608510748399</v>
      </c>
      <c r="KN329" s="5">
        <v>-6.9382823698198703E-2</v>
      </c>
      <c r="KO329" s="5">
        <v>7.0586702356834702E-2</v>
      </c>
      <c r="KP329" s="5">
        <v>0.263886287873414</v>
      </c>
      <c r="KQ329" s="5">
        <v>-0.20530625388401499</v>
      </c>
      <c r="KR329" s="5">
        <v>-0.36508074389580097</v>
      </c>
      <c r="KS329" s="5">
        <v>0.50279149103089105</v>
      </c>
      <c r="KT329" s="5">
        <v>-0.35342064480896301</v>
      </c>
      <c r="KU329" s="5">
        <v>0.40243312969420703</v>
      </c>
      <c r="KV329" s="5">
        <v>-0.40143345481604797</v>
      </c>
      <c r="KW329" s="5">
        <v>0.55931050798322501</v>
      </c>
      <c r="KX329" s="5">
        <v>-0.38095023586337601</v>
      </c>
      <c r="KY329" s="5">
        <v>0.54079340717615998</v>
      </c>
      <c r="KZ329" s="5">
        <v>-0.15508787333651999</v>
      </c>
      <c r="LA329" s="5">
        <v>0.219839270185231</v>
      </c>
      <c r="LB329" s="5">
        <v>-0.43618266007239298</v>
      </c>
      <c r="LC329" s="5">
        <v>0.61824545631601102</v>
      </c>
      <c r="LD329" s="5">
        <v>-0.45184936401953202</v>
      </c>
      <c r="LE329" s="5">
        <v>0.57822903091870204</v>
      </c>
      <c r="LF329" s="5">
        <v>-6.5211141055957406E-2</v>
      </c>
      <c r="LG329" s="5">
        <v>4.63328037240495E-2</v>
      </c>
      <c r="LH329" s="5">
        <v>-0.48763354258674002</v>
      </c>
      <c r="LI329" s="5">
        <v>0.63298119477136106</v>
      </c>
      <c r="LJ329" s="5">
        <v>-3.7353681467113702E-2</v>
      </c>
      <c r="LK329" s="5">
        <v>-1.97585722213088E-2</v>
      </c>
      <c r="LL329" s="5">
        <v>-0.36472676840085799</v>
      </c>
      <c r="LM329" s="5">
        <v>0.54375023096233299</v>
      </c>
      <c r="LN329" s="5">
        <v>-0.30079844834809</v>
      </c>
      <c r="LO329" s="5">
        <v>0.43906400193872003</v>
      </c>
      <c r="LP329" s="5">
        <v>-0.80409134723683195</v>
      </c>
      <c r="LQ329" s="5">
        <v>1</v>
      </c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</row>
    <row r="330" spans="1:389" x14ac:dyDescent="0.45">
      <c r="A330" s="4" t="str">
        <f ca="1">"SVK / beta1dist in "&amp;CELL("address",'damages-1990'!$J$166)</f>
        <v>SVK / beta1dist in '[BHM betas v3pd.xlsx]damages-1990'!$J$166</v>
      </c>
      <c r="B330" s="6">
        <v>0.315300090467037</v>
      </c>
      <c r="C330" s="5">
        <v>-0.19838543206082501</v>
      </c>
      <c r="D330" s="5">
        <v>0.17939646428450801</v>
      </c>
      <c r="E330" s="5">
        <v>-0.269937049437322</v>
      </c>
      <c r="F330" s="5">
        <v>0.54318176652399697</v>
      </c>
      <c r="G330" s="5">
        <v>-0.46778565232542202</v>
      </c>
      <c r="H330" s="5">
        <v>0.56651069076801397</v>
      </c>
      <c r="I330" s="5">
        <v>-0.42001994195020398</v>
      </c>
      <c r="J330" s="5">
        <v>-9.5845799114392893E-2</v>
      </c>
      <c r="K330" s="5">
        <v>-2.6381373851879601E-2</v>
      </c>
      <c r="L330" s="5">
        <v>0.15732795348046</v>
      </c>
      <c r="M330" s="5">
        <v>-2.0355778415756299E-2</v>
      </c>
      <c r="N330" s="5">
        <v>0.44193762814312199</v>
      </c>
      <c r="O330" s="5">
        <v>-0.23967415089264599</v>
      </c>
      <c r="P330" s="5">
        <v>0.126137475349758</v>
      </c>
      <c r="Q330" s="5">
        <v>-0.226791631428993</v>
      </c>
      <c r="R330" s="5">
        <v>-6.9455352619831198E-2</v>
      </c>
      <c r="S330" s="5">
        <v>-9.28986273887023E-3</v>
      </c>
      <c r="T330" s="5">
        <v>0.86838258596967</v>
      </c>
      <c r="U330" s="5">
        <v>-0.76203996329508294</v>
      </c>
      <c r="V330" s="5">
        <v>0.34194297375228799</v>
      </c>
      <c r="W330" s="5">
        <v>-0.26460443112458898</v>
      </c>
      <c r="X330" s="5">
        <v>0.17010143119952301</v>
      </c>
      <c r="Y330" s="5">
        <v>-0.221726630118251</v>
      </c>
      <c r="Z330" s="5">
        <v>0.70880136067313304</v>
      </c>
      <c r="AA330" s="5">
        <v>-0.61703629595633602</v>
      </c>
      <c r="AB330" s="5">
        <v>0.12147194197061</v>
      </c>
      <c r="AC330" s="5">
        <v>-0.15763547150539201</v>
      </c>
      <c r="AD330" s="5">
        <v>0.136974451644719</v>
      </c>
      <c r="AE330" s="5">
        <v>-0.162794858664218</v>
      </c>
      <c r="AF330" s="5">
        <v>-0.101870916048117</v>
      </c>
      <c r="AG330" s="5">
        <v>-7.4679812344451398E-3</v>
      </c>
      <c r="AH330" s="5">
        <v>0.65540103401364402</v>
      </c>
      <c r="AI330" s="5">
        <v>-0.59207299522318102</v>
      </c>
      <c r="AJ330" s="5">
        <v>-0.175407119403481</v>
      </c>
      <c r="AK330" s="5">
        <v>2.5322237696906402E-2</v>
      </c>
      <c r="AL330" s="5">
        <v>-0.26907027350560497</v>
      </c>
      <c r="AM330" s="5">
        <v>0.25186205288924202</v>
      </c>
      <c r="AN330" s="5">
        <v>0.81843941485279204</v>
      </c>
      <c r="AO330" s="5">
        <v>-0.75372421596967698</v>
      </c>
      <c r="AP330" s="5">
        <v>0.70891032370561102</v>
      </c>
      <c r="AQ330" s="5">
        <v>-0.57403860884947999</v>
      </c>
      <c r="AR330" s="5">
        <v>-0.122210361213911</v>
      </c>
      <c r="AS330" s="5">
        <v>5.4044507966525199E-2</v>
      </c>
      <c r="AT330" s="5">
        <v>-0.29988185044718502</v>
      </c>
      <c r="AU330" s="5">
        <v>0.27659699111417502</v>
      </c>
      <c r="AV330" s="5">
        <v>-8.6580960910130594E-2</v>
      </c>
      <c r="AW330" s="5">
        <v>-1.0906682467712999E-2</v>
      </c>
      <c r="AX330" s="5">
        <v>-9.6967249024088001E-2</v>
      </c>
      <c r="AY330" s="5">
        <v>-6.4823498233909496E-2</v>
      </c>
      <c r="AZ330" s="5">
        <v>0.16286255608786801</v>
      </c>
      <c r="BA330" s="5">
        <v>-0.23541406183156499</v>
      </c>
      <c r="BB330" s="5">
        <v>-4.8281804893002399E-2</v>
      </c>
      <c r="BC330" s="5">
        <v>-9.4193856647921806E-2</v>
      </c>
      <c r="BD330" s="5">
        <v>0.47990151812862603</v>
      </c>
      <c r="BE330" s="5">
        <v>-0.34254588592178298</v>
      </c>
      <c r="BF330" s="5">
        <v>0.22722867414346701</v>
      </c>
      <c r="BG330" s="5">
        <v>-0.34749891124099502</v>
      </c>
      <c r="BH330" s="5">
        <v>5.0644814763310397E-2</v>
      </c>
      <c r="BI330" s="5">
        <v>-0.112037289652441</v>
      </c>
      <c r="BJ330" s="5">
        <v>0.55142075541157198</v>
      </c>
      <c r="BK330" s="5">
        <v>-0.31585427112835501</v>
      </c>
      <c r="BL330" s="5">
        <v>0.76995837895320796</v>
      </c>
      <c r="BM330" s="5">
        <v>-0.65126879972467</v>
      </c>
      <c r="BN330" s="5">
        <v>0.39466371018966601</v>
      </c>
      <c r="BO330" s="5">
        <v>-0.147128871498451</v>
      </c>
      <c r="BP330" s="5">
        <v>0.56732088435675099</v>
      </c>
      <c r="BQ330" s="5">
        <v>-0.37097360698864001</v>
      </c>
      <c r="BR330" s="5">
        <v>0.125938372877715</v>
      </c>
      <c r="BS330" s="5">
        <v>-0.14953203746627799</v>
      </c>
      <c r="BT330" s="5">
        <v>-1.6249568998297601E-3</v>
      </c>
      <c r="BU330" s="5">
        <v>-6.6598660446479399E-2</v>
      </c>
      <c r="BV330" s="5">
        <v>3.9024873160599598E-2</v>
      </c>
      <c r="BW330" s="5">
        <v>-0.123540051896858</v>
      </c>
      <c r="BX330" s="5">
        <v>-3.5943478167320998E-3</v>
      </c>
      <c r="BY330" s="5">
        <v>-5.7917690405718099E-2</v>
      </c>
      <c r="BZ330" s="5">
        <v>-6.1636241202832801E-2</v>
      </c>
      <c r="CA330" s="5">
        <v>-5.3892590603138002E-2</v>
      </c>
      <c r="CB330" s="5">
        <v>-0.12986337309111201</v>
      </c>
      <c r="CC330" s="5">
        <v>7.1302488181307397E-2</v>
      </c>
      <c r="CD330" s="5">
        <v>5.3699102928433301E-2</v>
      </c>
      <c r="CE330" s="5">
        <v>-0.12604579116771999</v>
      </c>
      <c r="CF330" s="5">
        <v>1.2424349829988799E-2</v>
      </c>
      <c r="CG330" s="5">
        <v>-6.4523223057193296E-2</v>
      </c>
      <c r="CH330" s="5">
        <v>-0.21881503439203401</v>
      </c>
      <c r="CI330" s="5">
        <v>0.18768953848561101</v>
      </c>
      <c r="CJ330" s="5">
        <v>-0.19932905060610001</v>
      </c>
      <c r="CK330" s="5">
        <v>0.21164656817956601</v>
      </c>
      <c r="CL330" s="5">
        <v>0.88953625723172502</v>
      </c>
      <c r="CM330" s="5">
        <v>-0.79904284679459703</v>
      </c>
      <c r="CN330" s="5">
        <v>0.81701337658512696</v>
      </c>
      <c r="CO330" s="5">
        <v>-0.73547672283165799</v>
      </c>
      <c r="CP330" s="5">
        <v>6.7519834568511294E-2</v>
      </c>
      <c r="CQ330" s="5">
        <v>-8.9232934791543803E-2</v>
      </c>
      <c r="CR330" s="5">
        <v>0.13850785743385</v>
      </c>
      <c r="CS330" s="5">
        <v>-0.206878318425255</v>
      </c>
      <c r="CT330" s="5">
        <v>0.71203801611133399</v>
      </c>
      <c r="CU330" s="5">
        <v>-0.60470895180208795</v>
      </c>
      <c r="CV330" s="5">
        <v>0.13781589635050401</v>
      </c>
      <c r="CW330" s="5">
        <v>-0.20886140659295699</v>
      </c>
      <c r="CX330" s="5">
        <v>-7.6979072135728299E-2</v>
      </c>
      <c r="CY330" s="5">
        <v>-6.3251543145411296E-3</v>
      </c>
      <c r="CZ330" s="5">
        <v>6.2873447658786602E-3</v>
      </c>
      <c r="DA330" s="5">
        <v>-0.11435676240375001</v>
      </c>
      <c r="DB330" s="5">
        <v>-0.13300722931287901</v>
      </c>
      <c r="DC330" s="5">
        <v>9.43779928098319E-3</v>
      </c>
      <c r="DD330" s="5">
        <v>0.14406343798157001</v>
      </c>
      <c r="DE330" s="5">
        <v>-0.15624062216995299</v>
      </c>
      <c r="DF330" s="5">
        <v>-9.6048183664694503E-2</v>
      </c>
      <c r="DG330" s="5">
        <v>4.6877543638772001E-2</v>
      </c>
      <c r="DH330" s="5">
        <v>0.32261218639970002</v>
      </c>
      <c r="DI330" s="5">
        <v>-0.23797023665585901</v>
      </c>
      <c r="DJ330" s="5">
        <v>0.61598073845197499</v>
      </c>
      <c r="DK330" s="5">
        <v>-0.49015239652932402</v>
      </c>
      <c r="DL330" s="5">
        <v>0.12976173536567001</v>
      </c>
      <c r="DM330" s="5">
        <v>-0.13624077291921299</v>
      </c>
      <c r="DN330" s="5">
        <v>0.53824287486472999</v>
      </c>
      <c r="DO330" s="5">
        <v>-0.40851010655630099</v>
      </c>
      <c r="DP330" s="5">
        <v>-1.1130985297700201E-2</v>
      </c>
      <c r="DQ330" s="5">
        <v>-2.8410399292987099E-2</v>
      </c>
      <c r="DR330" s="5">
        <v>0.62323357987014705</v>
      </c>
      <c r="DS330" s="5">
        <v>-0.56188021761297702</v>
      </c>
      <c r="DT330" s="5">
        <v>-0.131529846533712</v>
      </c>
      <c r="DU330" s="5">
        <v>9.8395451796448694E-2</v>
      </c>
      <c r="DV330" s="5">
        <v>6.2762558658197007E-2</v>
      </c>
      <c r="DW330" s="5">
        <v>-0.121615363302225</v>
      </c>
      <c r="DX330" s="5">
        <v>0.59649521882318601</v>
      </c>
      <c r="DY330" s="5">
        <v>-0.445734479512568</v>
      </c>
      <c r="DZ330" s="5">
        <v>0.50732773966156897</v>
      </c>
      <c r="EA330" s="5">
        <v>-0.33662865355664201</v>
      </c>
      <c r="EB330" s="5">
        <v>7.6757763774916707E-2</v>
      </c>
      <c r="EC330" s="5">
        <v>-0.119257599115293</v>
      </c>
      <c r="ED330" s="5">
        <v>9.4750814345099396E-2</v>
      </c>
      <c r="EE330" s="5">
        <v>-0.14506010516280099</v>
      </c>
      <c r="EF330" s="5">
        <v>0.149586501685605</v>
      </c>
      <c r="EG330" s="5">
        <v>-0.22627398705495899</v>
      </c>
      <c r="EH330" s="5">
        <v>0.10194496134329301</v>
      </c>
      <c r="EI330" s="5">
        <v>-0.18722613502663499</v>
      </c>
      <c r="EJ330" s="5">
        <v>0.12662426208010699</v>
      </c>
      <c r="EK330" s="5">
        <v>-0.21847988111335501</v>
      </c>
      <c r="EL330" s="5">
        <v>-8.3027036328557499E-2</v>
      </c>
      <c r="EM330" s="5">
        <v>5.3218861857593398E-2</v>
      </c>
      <c r="EN330" s="5">
        <v>7.0080501567342704E-2</v>
      </c>
      <c r="EO330" s="5">
        <v>3.7843664232530799E-2</v>
      </c>
      <c r="EP330" s="5">
        <v>0.180356680768231</v>
      </c>
      <c r="EQ330" s="5">
        <v>-0.259020746604957</v>
      </c>
      <c r="ER330" s="5">
        <v>-5.4579165809182803E-2</v>
      </c>
      <c r="ES330" s="5">
        <v>-2.3287780159354399E-2</v>
      </c>
      <c r="ET330" s="5">
        <v>-6.2849001412806499E-3</v>
      </c>
      <c r="EU330" s="5">
        <v>-0.12120810456952701</v>
      </c>
      <c r="EV330" s="5">
        <v>-8.2908933105496699E-2</v>
      </c>
      <c r="EW330" s="5">
        <v>-5.6729471155178603E-2</v>
      </c>
      <c r="EX330" s="5">
        <v>-6.52130546006853E-2</v>
      </c>
      <c r="EY330" s="5">
        <v>-5.3696548902249501E-2</v>
      </c>
      <c r="EZ330" s="5">
        <v>-4.4923905819043201E-2</v>
      </c>
      <c r="FA330" s="5">
        <v>-1.4334555511056999E-2</v>
      </c>
      <c r="FB330" s="5">
        <v>0.68873676213561696</v>
      </c>
      <c r="FC330" s="5">
        <v>-0.65425781857169396</v>
      </c>
      <c r="FD330" s="5">
        <v>2.2070767672831199E-2</v>
      </c>
      <c r="FE330" s="5">
        <v>-8.7137241965376006E-2</v>
      </c>
      <c r="FF330" s="5">
        <v>0.78350515849156899</v>
      </c>
      <c r="FG330" s="5">
        <v>-0.73739250954126101</v>
      </c>
      <c r="FH330" s="5">
        <v>-0.17437666189177201</v>
      </c>
      <c r="FI330" s="5">
        <v>0.19759242787263601</v>
      </c>
      <c r="FJ330" s="5">
        <v>4.1009344927169601E-2</v>
      </c>
      <c r="FK330" s="5">
        <v>-0.15102054018081601</v>
      </c>
      <c r="FL330" s="5">
        <v>0.444980794602854</v>
      </c>
      <c r="FM330" s="5">
        <v>-0.23359861569226201</v>
      </c>
      <c r="FN330" s="5">
        <v>0.12742292617196199</v>
      </c>
      <c r="FO330" s="5">
        <v>-0.10878845410943599</v>
      </c>
      <c r="FP330" s="5">
        <v>-0.119222525907986</v>
      </c>
      <c r="FQ330" s="5">
        <v>5.6854810419251001E-2</v>
      </c>
      <c r="FR330" s="5">
        <v>0.132420004150541</v>
      </c>
      <c r="FS330" s="5">
        <v>0.17912334955834899</v>
      </c>
      <c r="FT330" s="5">
        <v>-0.122686703548434</v>
      </c>
      <c r="FU330" s="5">
        <v>8.1935306085886506E-2</v>
      </c>
      <c r="FV330" s="5">
        <v>0.47514517594781802</v>
      </c>
      <c r="FW330" s="5">
        <v>-0.43474706472950098</v>
      </c>
      <c r="FX330" s="5">
        <v>-8.1961652258689302E-2</v>
      </c>
      <c r="FY330" s="5">
        <v>1.1395962754427899E-2</v>
      </c>
      <c r="FZ330" s="5">
        <v>-4.7794289987019498E-2</v>
      </c>
      <c r="GA330" s="5">
        <v>3.72576397831456E-3</v>
      </c>
      <c r="GB330" s="5">
        <v>0.60727701434250003</v>
      </c>
      <c r="GC330" s="5">
        <v>-0.55065605933614403</v>
      </c>
      <c r="GD330" s="5">
        <v>0.58739161697343401</v>
      </c>
      <c r="GE330" s="5">
        <v>-0.415168069937073</v>
      </c>
      <c r="GF330" s="5">
        <v>-6.6895441857924703E-2</v>
      </c>
      <c r="GG330" s="5">
        <v>-2.3153054283019E-2</v>
      </c>
      <c r="GH330" s="5">
        <v>0.36059771446890598</v>
      </c>
      <c r="GI330" s="5">
        <v>-5.8473825668681603E-2</v>
      </c>
      <c r="GJ330" s="5">
        <v>-0.11140814654341399</v>
      </c>
      <c r="GK330" s="5">
        <v>3.6713545119356698E-2</v>
      </c>
      <c r="GL330" s="5">
        <v>0.211138212723331</v>
      </c>
      <c r="GM330" s="5">
        <v>-0.293438654835594</v>
      </c>
      <c r="GN330" s="5">
        <v>0.55567809709187599</v>
      </c>
      <c r="GO330" s="5">
        <v>-0.51935442471427795</v>
      </c>
      <c r="GP330" s="5">
        <v>-0.121491208834816</v>
      </c>
      <c r="GQ330" s="5">
        <v>-7.3202704863737297E-3</v>
      </c>
      <c r="GR330" s="5">
        <v>-1.5953860593003199E-2</v>
      </c>
      <c r="GS330" s="5">
        <v>-5.0881231900188797E-2</v>
      </c>
      <c r="GT330" s="5">
        <v>9.9614371302369595E-2</v>
      </c>
      <c r="GU330" s="5">
        <v>1.9624439224225601E-3</v>
      </c>
      <c r="GV330" s="5">
        <v>0.11426249399555399</v>
      </c>
      <c r="GW330" s="5">
        <v>-0.16881366614400101</v>
      </c>
      <c r="GX330" s="5">
        <v>-0.118341057393758</v>
      </c>
      <c r="GY330" s="5">
        <v>2.54588108751862E-2</v>
      </c>
      <c r="GZ330" s="5">
        <v>0.798088328023972</v>
      </c>
      <c r="HA330" s="5">
        <v>-0.68643699980860895</v>
      </c>
      <c r="HB330" s="5">
        <v>-7.4720065094771707E-2</v>
      </c>
      <c r="HC330" s="5">
        <v>-4.6550275856503703E-2</v>
      </c>
      <c r="HD330" s="5">
        <v>0.31076999904321501</v>
      </c>
      <c r="HE330" s="5">
        <v>-8.6551058601078104E-2</v>
      </c>
      <c r="HF330" s="5">
        <v>0.71913432329196603</v>
      </c>
      <c r="HG330" s="5">
        <v>-0.59465543697396706</v>
      </c>
      <c r="HH330" s="5">
        <v>0.74339017032216603</v>
      </c>
      <c r="HI330" s="5">
        <v>-0.65613675099784596</v>
      </c>
      <c r="HJ330" s="5">
        <v>0.67106433698787205</v>
      </c>
      <c r="HK330" s="5">
        <v>-0.54593944960026597</v>
      </c>
      <c r="HL330" s="5">
        <v>2.3329890807235399E-2</v>
      </c>
      <c r="HM330" s="5">
        <v>-2.5583580047347202E-3</v>
      </c>
      <c r="HN330" s="5">
        <v>0.72720591556291203</v>
      </c>
      <c r="HO330" s="5">
        <v>-0.67049015090267605</v>
      </c>
      <c r="HP330" s="5">
        <v>1.4066604635937599E-2</v>
      </c>
      <c r="HQ330" s="5">
        <v>-0.10146705748207401</v>
      </c>
      <c r="HR330" s="5">
        <v>-7.0205752106524202E-2</v>
      </c>
      <c r="HS330" s="5">
        <v>3.1192261232758801E-2</v>
      </c>
      <c r="HT330" s="5">
        <v>0.69164934636368403</v>
      </c>
      <c r="HU330" s="5">
        <v>-0.60903944737945703</v>
      </c>
      <c r="HV330" s="5">
        <v>1.3277251889112E-2</v>
      </c>
      <c r="HW330" s="5">
        <v>-7.0320585165990504E-2</v>
      </c>
      <c r="HX330" s="5">
        <v>-5.6993637460174898E-2</v>
      </c>
      <c r="HY330" s="5">
        <v>-6.9512813335939096E-3</v>
      </c>
      <c r="HZ330" s="5">
        <v>0.82098001267368703</v>
      </c>
      <c r="IA330" s="5">
        <v>-0.73595226961337301</v>
      </c>
      <c r="IB330" s="5">
        <v>0.52458982673634003</v>
      </c>
      <c r="IC330" s="5">
        <v>-0.36840000676607298</v>
      </c>
      <c r="ID330" s="5">
        <v>0.19947053136360601</v>
      </c>
      <c r="IE330" s="5">
        <v>-0.41872452914733199</v>
      </c>
      <c r="IF330" s="5">
        <v>-3.8916349010159397E-2</v>
      </c>
      <c r="IG330" s="5">
        <v>-2.0184572992619901E-2</v>
      </c>
      <c r="IH330" s="5">
        <v>0.122300547550173</v>
      </c>
      <c r="II330" s="5">
        <v>-0.20870522431987801</v>
      </c>
      <c r="IJ330" s="5">
        <v>-0.20406113800165099</v>
      </c>
      <c r="IK330" s="5">
        <v>0.21669547705717501</v>
      </c>
      <c r="IL330" s="5">
        <v>2.56064140923545E-2</v>
      </c>
      <c r="IM330" s="5">
        <v>-0.156114232479695</v>
      </c>
      <c r="IN330" s="5">
        <v>-0.133643475735262</v>
      </c>
      <c r="IO330" s="5">
        <v>7.8979308958865194E-2</v>
      </c>
      <c r="IP330" s="5">
        <v>0.24859224635604099</v>
      </c>
      <c r="IQ330" s="5">
        <v>-0.363662939466525</v>
      </c>
      <c r="IR330" s="5">
        <v>-0.12333111794188099</v>
      </c>
      <c r="IS330" s="5">
        <v>7.2544752148165498E-2</v>
      </c>
      <c r="IT330" s="5">
        <v>1.7064831868003501E-2</v>
      </c>
      <c r="IU330" s="5">
        <v>-9.1031855694906197E-2</v>
      </c>
      <c r="IV330" s="5">
        <v>0.181081723205918</v>
      </c>
      <c r="IW330" s="5">
        <v>-0.20351399347921201</v>
      </c>
      <c r="IX330" s="5">
        <v>-1.23625672637078E-2</v>
      </c>
      <c r="IY330" s="5">
        <v>-5.0974410578225798E-2</v>
      </c>
      <c r="IZ330" s="5">
        <v>0.71421493651745704</v>
      </c>
      <c r="JA330" s="5">
        <v>-0.61472175153960795</v>
      </c>
      <c r="JB330" s="5">
        <v>0.61206569484058204</v>
      </c>
      <c r="JC330" s="5">
        <v>-0.50656250941492698</v>
      </c>
      <c r="JD330" s="5">
        <v>0.36466599475101102</v>
      </c>
      <c r="JE330" s="5">
        <v>-0.28205946169849699</v>
      </c>
      <c r="JF330" s="5">
        <v>9.39494989586874E-2</v>
      </c>
      <c r="JG330" s="5">
        <v>-0.133432856756589</v>
      </c>
      <c r="JH330" s="5">
        <v>0.33672239272747401</v>
      </c>
      <c r="JI330" s="5">
        <v>-0.15921464866621099</v>
      </c>
      <c r="JJ330" s="5">
        <v>4.2421094160275598E-2</v>
      </c>
      <c r="JK330" s="5">
        <v>-0.15157608562850799</v>
      </c>
      <c r="JL330" s="5">
        <v>5.9088471247510099E-2</v>
      </c>
      <c r="JM330" s="5">
        <v>-0.13134734326736</v>
      </c>
      <c r="JN330" s="5">
        <v>-6.3553388053547597E-3</v>
      </c>
      <c r="JO330" s="5">
        <v>-8.5823896340598199E-2</v>
      </c>
      <c r="JP330" s="5">
        <v>-6.2050315497459201E-2</v>
      </c>
      <c r="JQ330" s="5">
        <v>-1.03970833292937E-2</v>
      </c>
      <c r="JR330" s="5">
        <v>-8.8268448448378306E-2</v>
      </c>
      <c r="JS330" s="5">
        <v>-1.3435208312293299E-2</v>
      </c>
      <c r="JT330" s="5">
        <v>-8.8956380037480201E-2</v>
      </c>
      <c r="JU330" s="5">
        <v>4.58754683597812E-2</v>
      </c>
      <c r="JV330" s="5">
        <v>-0.130157157146432</v>
      </c>
      <c r="JW330" s="5">
        <v>0.112295982429921</v>
      </c>
      <c r="JX330" s="5">
        <v>0.86783704068607104</v>
      </c>
      <c r="JY330" s="5">
        <v>-0.76772454165585702</v>
      </c>
      <c r="JZ330" s="5">
        <v>0.115176211944665</v>
      </c>
      <c r="KA330" s="5">
        <v>-0.201755333813882</v>
      </c>
      <c r="KB330" s="5">
        <v>0.61896259416405797</v>
      </c>
      <c r="KC330" s="5">
        <v>-0.46621608623356597</v>
      </c>
      <c r="KD330" s="5">
        <v>0.14688004837148799</v>
      </c>
      <c r="KE330" s="5">
        <v>-8.3698742356138695E-2</v>
      </c>
      <c r="KF330" s="5">
        <v>-0.10108272738367099</v>
      </c>
      <c r="KG330" s="5">
        <v>0.11460958578336999</v>
      </c>
      <c r="KH330" s="5">
        <v>-9.9769229846032703E-2</v>
      </c>
      <c r="KI330" s="5">
        <v>7.5667069082464206E-2</v>
      </c>
      <c r="KJ330" s="5">
        <v>-0.188538339380316</v>
      </c>
      <c r="KK330" s="5">
        <v>3.8020994507086903E-2</v>
      </c>
      <c r="KL330" s="5">
        <v>2.8331933523553701E-2</v>
      </c>
      <c r="KM330" s="5">
        <v>9.5460399334126506E-2</v>
      </c>
      <c r="KN330" s="5">
        <v>0.81071529382089902</v>
      </c>
      <c r="KO330" s="5">
        <v>-0.74675521241346499</v>
      </c>
      <c r="KP330" s="5">
        <v>0.48774312342508003</v>
      </c>
      <c r="KQ330" s="5">
        <v>-0.310518248598109</v>
      </c>
      <c r="KR330" s="5">
        <v>0.16274339238812599</v>
      </c>
      <c r="KS330" s="5">
        <v>-0.16273566575283599</v>
      </c>
      <c r="KT330" s="5">
        <v>-0.13734761080757699</v>
      </c>
      <c r="KU330" s="5">
        <v>6.0632315845127398E-2</v>
      </c>
      <c r="KV330" s="5">
        <v>0.104753511295822</v>
      </c>
      <c r="KW330" s="5">
        <v>-0.170134638015564</v>
      </c>
      <c r="KX330" s="5">
        <v>9.9345156059109402E-2</v>
      </c>
      <c r="KY330" s="5">
        <v>-0.17543050750646699</v>
      </c>
      <c r="KZ330" s="5">
        <v>1.7853213001265501E-2</v>
      </c>
      <c r="LA330" s="5">
        <v>-5.2584559894883302E-2</v>
      </c>
      <c r="LB330" s="5">
        <v>3.3336311197775297E-2</v>
      </c>
      <c r="LC330" s="5">
        <v>-9.8370290009558201E-2</v>
      </c>
      <c r="LD330" s="5">
        <v>-7.2635698075440194E-2</v>
      </c>
      <c r="LE330" s="5">
        <v>-4.9607811531341001E-3</v>
      </c>
      <c r="LF330" s="5">
        <v>0.68617823679212697</v>
      </c>
      <c r="LG330" s="5">
        <v>-0.67713367663020096</v>
      </c>
      <c r="LH330" s="5">
        <v>-6.9810207860452802E-3</v>
      </c>
      <c r="LI330" s="5">
        <v>-8.3364516415755596E-2</v>
      </c>
      <c r="LJ330" s="5">
        <v>0.71122900931334099</v>
      </c>
      <c r="LK330" s="5">
        <v>-0.64501947853436103</v>
      </c>
      <c r="LL330" s="5">
        <v>0.10409175595079501</v>
      </c>
      <c r="LM330" s="5">
        <v>-0.14303081289621999</v>
      </c>
      <c r="LN330" s="5">
        <v>2.7051524195741299E-2</v>
      </c>
      <c r="LO330" s="5">
        <v>-4.1983420056030202E-2</v>
      </c>
      <c r="LP330" s="5">
        <v>-9.3798861312365298E-2</v>
      </c>
      <c r="LQ330" s="5">
        <v>-2.9217319112132802E-2</v>
      </c>
      <c r="LR330" s="5">
        <v>1</v>
      </c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</row>
    <row r="331" spans="1:389" x14ac:dyDescent="0.45">
      <c r="A331" s="4" t="str">
        <f ca="1">"SVK / beta2dist in "&amp;CELL("address",'damages-1990'!$K$166)</f>
        <v>SVK / beta2dist in '[BHM betas v3pd.xlsx]damages-1990'!$K$166</v>
      </c>
      <c r="B331" s="6">
        <v>-6.3513762203395704E-2</v>
      </c>
      <c r="C331" s="5">
        <v>0.105772188239615</v>
      </c>
      <c r="D331" s="5">
        <v>-0.16180304615831201</v>
      </c>
      <c r="E331" s="5">
        <v>0.31686927565863099</v>
      </c>
      <c r="F331" s="5">
        <v>-0.331543016655241</v>
      </c>
      <c r="G331" s="5">
        <v>0.43557728104930299</v>
      </c>
      <c r="H331" s="5">
        <v>-0.45359316622698298</v>
      </c>
      <c r="I331" s="5">
        <v>0.461102432628962</v>
      </c>
      <c r="J331" s="5">
        <v>0.139597790070037</v>
      </c>
      <c r="K331" s="5">
        <v>1.2487632370829701E-2</v>
      </c>
      <c r="L331" s="5">
        <v>3.5110662613066501E-2</v>
      </c>
      <c r="M331" s="5">
        <v>-4.3964620334698098E-2</v>
      </c>
      <c r="N331" s="5">
        <v>-0.25709928284841999</v>
      </c>
      <c r="O331" s="5">
        <v>0.24242762402038701</v>
      </c>
      <c r="P331" s="5">
        <v>-0.15872285965848101</v>
      </c>
      <c r="Q331" s="5">
        <v>0.28578462517952602</v>
      </c>
      <c r="R331" s="5">
        <v>0.16708073343362101</v>
      </c>
      <c r="S331" s="5">
        <v>-1.9346715610034301E-2</v>
      </c>
      <c r="T331" s="5">
        <v>-0.79333939514833796</v>
      </c>
      <c r="U331" s="5">
        <v>0.864090670072718</v>
      </c>
      <c r="V331" s="5">
        <v>-9.9099903126685596E-2</v>
      </c>
      <c r="W331" s="5">
        <v>0.18391601892790899</v>
      </c>
      <c r="X331" s="5">
        <v>-0.12514573549288499</v>
      </c>
      <c r="Y331" s="5">
        <v>0.24795460483884099</v>
      </c>
      <c r="Z331" s="5">
        <v>-0.55628822716239601</v>
      </c>
      <c r="AA331" s="5">
        <v>0.66017943508367005</v>
      </c>
      <c r="AB331" s="5">
        <v>-0.13188850489769399</v>
      </c>
      <c r="AC331" s="5">
        <v>0.185487255082986</v>
      </c>
      <c r="AD331" s="5">
        <v>-0.13130288531916001</v>
      </c>
      <c r="AE331" s="5">
        <v>0.18170944945279999</v>
      </c>
      <c r="AF331" s="5">
        <v>0.123735123945707</v>
      </c>
      <c r="AG331" s="5">
        <v>2.40855602442075E-2</v>
      </c>
      <c r="AH331" s="5">
        <v>-0.46660772951748802</v>
      </c>
      <c r="AI331" s="5">
        <v>0.59453105404880702</v>
      </c>
      <c r="AJ331" s="5">
        <v>0.23521131209058799</v>
      </c>
      <c r="AK331" s="5">
        <v>-5.8323886612723502E-2</v>
      </c>
      <c r="AL331" s="5">
        <v>0.33475820411781498</v>
      </c>
      <c r="AM331" s="5">
        <v>-0.31420364405380302</v>
      </c>
      <c r="AN331" s="5">
        <v>-0.66500885262509402</v>
      </c>
      <c r="AO331" s="5">
        <v>0.80596673183468504</v>
      </c>
      <c r="AP331" s="5">
        <v>-0.59854779680465398</v>
      </c>
      <c r="AQ331" s="5">
        <v>0.62657972609267798</v>
      </c>
      <c r="AR331" s="5">
        <v>0.141663047415958</v>
      </c>
      <c r="AS331" s="5">
        <v>-4.3197476522801398E-2</v>
      </c>
      <c r="AT331" s="5">
        <v>0.39159116146487699</v>
      </c>
      <c r="AU331" s="5">
        <v>-0.361409950795194</v>
      </c>
      <c r="AV331" s="5">
        <v>0.17331303565155201</v>
      </c>
      <c r="AW331" s="5">
        <v>-2.0627865384145499E-2</v>
      </c>
      <c r="AX331" s="5">
        <v>0.13323164426352899</v>
      </c>
      <c r="AY331" s="5">
        <v>6.9428545823649199E-2</v>
      </c>
      <c r="AZ331" s="5">
        <v>-0.19117381161133401</v>
      </c>
      <c r="BA331" s="5">
        <v>0.28625663174983901</v>
      </c>
      <c r="BB331" s="5">
        <v>6.4227545480647102E-2</v>
      </c>
      <c r="BC331" s="5">
        <v>0.12916417688077</v>
      </c>
      <c r="BD331" s="5">
        <v>-0.21803869861852099</v>
      </c>
      <c r="BE331" s="5">
        <v>0.25618336690672699</v>
      </c>
      <c r="BF331" s="5">
        <v>-0.235997010070954</v>
      </c>
      <c r="BG331" s="5">
        <v>0.41413266317823799</v>
      </c>
      <c r="BH331" s="5">
        <v>-4.5308650093674303E-2</v>
      </c>
      <c r="BI331" s="5">
        <v>0.14715350659416501</v>
      </c>
      <c r="BJ331" s="5">
        <v>-0.48329559320167798</v>
      </c>
      <c r="BK331" s="5">
        <v>0.37099247696522603</v>
      </c>
      <c r="BL331" s="5">
        <v>-0.68226936652261305</v>
      </c>
      <c r="BM331" s="5">
        <v>0.73735809704759203</v>
      </c>
      <c r="BN331" s="5">
        <v>-0.17273903246321601</v>
      </c>
      <c r="BO331" s="5">
        <v>0.112929046691119</v>
      </c>
      <c r="BP331" s="5">
        <v>-0.32006773956398998</v>
      </c>
      <c r="BQ331" s="5">
        <v>0.29086454714214199</v>
      </c>
      <c r="BR331" s="5">
        <v>-0.13142416845910301</v>
      </c>
      <c r="BS331" s="5">
        <v>0.182399135110172</v>
      </c>
      <c r="BT331" s="5">
        <v>3.54751019105451E-2</v>
      </c>
      <c r="BU331" s="5">
        <v>8.0152907009708604E-2</v>
      </c>
      <c r="BV331" s="5">
        <v>-1.5689787552371999E-2</v>
      </c>
      <c r="BW331" s="5">
        <v>0.14219396864661801</v>
      </c>
      <c r="BX331" s="5">
        <v>1.5672476639910199E-2</v>
      </c>
      <c r="BY331" s="5">
        <v>7.8746027418781797E-2</v>
      </c>
      <c r="BZ331" s="5">
        <v>7.9632306405379494E-2</v>
      </c>
      <c r="CA331" s="5">
        <v>6.9915618290953094E-2</v>
      </c>
      <c r="CB331" s="5">
        <v>0.16653110395141801</v>
      </c>
      <c r="CC331" s="5">
        <v>-8.2134417127783896E-2</v>
      </c>
      <c r="CD331" s="5">
        <v>4.6226998033716297E-3</v>
      </c>
      <c r="CE331" s="5">
        <v>0.108670142402802</v>
      </c>
      <c r="CF331" s="5">
        <v>-1.3860531569050301E-2</v>
      </c>
      <c r="CG331" s="5">
        <v>8.4685062166222194E-2</v>
      </c>
      <c r="CH331" s="5">
        <v>0.26368286566238902</v>
      </c>
      <c r="CI331" s="5">
        <v>-0.224755622788572</v>
      </c>
      <c r="CJ331" s="5">
        <v>0.32825288387784701</v>
      </c>
      <c r="CK331" s="5">
        <v>-0.27717744355311602</v>
      </c>
      <c r="CL331" s="5">
        <v>-0.78594160042789096</v>
      </c>
      <c r="CM331" s="5">
        <v>0.88948879813632997</v>
      </c>
      <c r="CN331" s="5">
        <v>-0.681480925089893</v>
      </c>
      <c r="CO331" s="5">
        <v>0.79954833803956804</v>
      </c>
      <c r="CP331" s="5">
        <v>-6.6753995189452395E-2</v>
      </c>
      <c r="CQ331" s="5">
        <v>9.5475452121780296E-2</v>
      </c>
      <c r="CR331" s="5">
        <v>-0.15311333786383399</v>
      </c>
      <c r="CS331" s="5">
        <v>0.26533490735995302</v>
      </c>
      <c r="CT331" s="5">
        <v>-0.62413145371785705</v>
      </c>
      <c r="CU331" s="5">
        <v>0.67103275288271602</v>
      </c>
      <c r="CV331" s="5">
        <v>-0.13313877711807701</v>
      </c>
      <c r="CW331" s="5">
        <v>0.23613168514341901</v>
      </c>
      <c r="CX331" s="5">
        <v>0.1561925576937</v>
      </c>
      <c r="CY331" s="5">
        <v>-2.53264217808742E-2</v>
      </c>
      <c r="CZ331" s="5">
        <v>1.12285240405165E-2</v>
      </c>
      <c r="DA331" s="5">
        <v>0.14897919498920001</v>
      </c>
      <c r="DB331" s="5">
        <v>0.214204965040041</v>
      </c>
      <c r="DC331" s="5">
        <v>-3.89640817593132E-2</v>
      </c>
      <c r="DD331" s="5">
        <v>-0.12710768445543899</v>
      </c>
      <c r="DE331" s="5">
        <v>0.15778570157791799</v>
      </c>
      <c r="DF331" s="5">
        <v>0.18317541827660899</v>
      </c>
      <c r="DG331" s="5">
        <v>-9.5090785181870294E-2</v>
      </c>
      <c r="DH331" s="5">
        <v>-8.9640834034913297E-2</v>
      </c>
      <c r="DI331" s="5">
        <v>0.15742288852206901</v>
      </c>
      <c r="DJ331" s="5">
        <v>-0.52785275374870999</v>
      </c>
      <c r="DK331" s="5">
        <v>0.54688564458813005</v>
      </c>
      <c r="DL331" s="5">
        <v>-9.8397574451895495E-2</v>
      </c>
      <c r="DM331" s="5">
        <v>0.15452190806021099</v>
      </c>
      <c r="DN331" s="5">
        <v>-0.47269039831040999</v>
      </c>
      <c r="DO331" s="5">
        <v>0.48268928484547002</v>
      </c>
      <c r="DP331" s="5">
        <v>7.3903220987070098E-2</v>
      </c>
      <c r="DQ331" s="5">
        <v>9.9086997082769909E-3</v>
      </c>
      <c r="DR331" s="5">
        <v>-0.42007520590287201</v>
      </c>
      <c r="DS331" s="5">
        <v>0.55283070622574904</v>
      </c>
      <c r="DT331" s="5">
        <v>0.152601644165931</v>
      </c>
      <c r="DU331" s="5">
        <v>-0.110281994434605</v>
      </c>
      <c r="DV331" s="5">
        <v>-5.7514005722077301E-2</v>
      </c>
      <c r="DW331" s="5">
        <v>0.14170776908636001</v>
      </c>
      <c r="DX331" s="5">
        <v>-0.43700931158452899</v>
      </c>
      <c r="DY331" s="5">
        <v>0.448711439177916</v>
      </c>
      <c r="DZ331" s="5">
        <v>-0.31723299393957499</v>
      </c>
      <c r="EA331" s="5">
        <v>0.34676229760787503</v>
      </c>
      <c r="EB331" s="5">
        <v>-7.8622893782487699E-2</v>
      </c>
      <c r="EC331" s="5">
        <v>0.14291583927572299</v>
      </c>
      <c r="ED331" s="5">
        <v>-8.5907047459435407E-2</v>
      </c>
      <c r="EE331" s="5">
        <v>0.17701528425406299</v>
      </c>
      <c r="EF331" s="5">
        <v>-0.17725605783002099</v>
      </c>
      <c r="EG331" s="5">
        <v>0.28867193140849001</v>
      </c>
      <c r="EH331" s="5">
        <v>-7.5382992436266394E-2</v>
      </c>
      <c r="EI331" s="5">
        <v>0.196810387848771</v>
      </c>
      <c r="EJ331" s="5">
        <v>-9.9194091275890101E-2</v>
      </c>
      <c r="EK331" s="5">
        <v>0.23506411446362899</v>
      </c>
      <c r="EL331" s="5">
        <v>0.12612912861171399</v>
      </c>
      <c r="EM331" s="5">
        <v>-6.2541874803779998E-2</v>
      </c>
      <c r="EN331" s="5">
        <v>0.13315983255201999</v>
      </c>
      <c r="EO331" s="5">
        <v>-0.114899199003845</v>
      </c>
      <c r="EP331" s="5">
        <v>-0.205524392722711</v>
      </c>
      <c r="EQ331" s="5">
        <v>0.30991767480316801</v>
      </c>
      <c r="ER331" s="5">
        <v>9.4405541265037696E-2</v>
      </c>
      <c r="ES331" s="5">
        <v>3.36172003166628E-2</v>
      </c>
      <c r="ET331" s="5">
        <v>-2.6245897981732602E-3</v>
      </c>
      <c r="EU331" s="5">
        <v>0.16112015525378501</v>
      </c>
      <c r="EV331" s="5">
        <v>9.0982048787075498E-2</v>
      </c>
      <c r="EW331" s="5">
        <v>7.5917507567180298E-2</v>
      </c>
      <c r="EX331" s="5">
        <v>0.112558686595055</v>
      </c>
      <c r="EY331" s="5">
        <v>5.2089351891919697E-2</v>
      </c>
      <c r="EZ331" s="5">
        <v>7.6573295503004193E-2</v>
      </c>
      <c r="FA331" s="5">
        <v>2.5809777400859098E-2</v>
      </c>
      <c r="FB331" s="5">
        <v>-0.49994160958306699</v>
      </c>
      <c r="FC331" s="5">
        <v>0.65689124596302895</v>
      </c>
      <c r="FD331" s="5">
        <v>7.9484519552751702E-3</v>
      </c>
      <c r="FE331" s="5">
        <v>8.5317464678922705E-2</v>
      </c>
      <c r="FF331" s="5">
        <v>-0.617633058426312</v>
      </c>
      <c r="FG331" s="5">
        <v>0.76555788545865799</v>
      </c>
      <c r="FH331" s="5">
        <v>0.235702907164442</v>
      </c>
      <c r="FI331" s="5">
        <v>-0.25447069372494202</v>
      </c>
      <c r="FJ331" s="5">
        <v>8.5131434832158605E-3</v>
      </c>
      <c r="FK331" s="5">
        <v>0.159575855199342</v>
      </c>
      <c r="FL331" s="5">
        <v>-0.25006346029800802</v>
      </c>
      <c r="FM331" s="5">
        <v>0.19803162507246</v>
      </c>
      <c r="FN331" s="5">
        <v>2.17599581970013E-2</v>
      </c>
      <c r="FO331" s="5">
        <v>6.4565485366279596E-2</v>
      </c>
      <c r="FP331" s="5">
        <v>0.20587773774938201</v>
      </c>
      <c r="FQ331" s="5">
        <v>-0.100489562378276</v>
      </c>
      <c r="FR331" s="5">
        <v>-2.43887957730669E-2</v>
      </c>
      <c r="FS331" s="5">
        <v>-0.20387386948038699</v>
      </c>
      <c r="FT331" s="5">
        <v>0.24694743696524901</v>
      </c>
      <c r="FU331" s="5">
        <v>-0.13769378056821699</v>
      </c>
      <c r="FV331" s="5">
        <v>-0.24300420110086601</v>
      </c>
      <c r="FW331" s="5">
        <v>0.36277205533328399</v>
      </c>
      <c r="FX331" s="5">
        <v>0.12295787827929699</v>
      </c>
      <c r="FY331" s="5">
        <v>-1.9599652661401599E-2</v>
      </c>
      <c r="FZ331" s="5">
        <v>0.17952945237331</v>
      </c>
      <c r="GA331" s="5">
        <v>-5.54394214757543E-2</v>
      </c>
      <c r="GB331" s="5">
        <v>-0.37812919738428402</v>
      </c>
      <c r="GC331" s="5">
        <v>0.50832198778913795</v>
      </c>
      <c r="GD331" s="5">
        <v>-0.45769398964193703</v>
      </c>
      <c r="GE331" s="5">
        <v>0.44366186871839802</v>
      </c>
      <c r="GF331" s="5">
        <v>9.7645894962621202E-2</v>
      </c>
      <c r="GG331" s="5">
        <v>4.0190907529020901E-2</v>
      </c>
      <c r="GH331" s="5">
        <v>-0.196231787629911</v>
      </c>
      <c r="GI331" s="5">
        <v>1.64520360775985E-2</v>
      </c>
      <c r="GJ331" s="5">
        <v>0.137898795919739</v>
      </c>
      <c r="GK331" s="5">
        <v>-4.90237848278419E-2</v>
      </c>
      <c r="GL331" s="5">
        <v>-0.25009320862183598</v>
      </c>
      <c r="GM331" s="5">
        <v>0.36022464649515301</v>
      </c>
      <c r="GN331" s="5">
        <v>-0.29168517634579699</v>
      </c>
      <c r="GO331" s="5">
        <v>0.41684069931197198</v>
      </c>
      <c r="GP331" s="5">
        <v>0.180715526980844</v>
      </c>
      <c r="GQ331" s="5">
        <v>-2.51649627657087E-2</v>
      </c>
      <c r="GR331" s="5">
        <v>7.1970912432537698E-2</v>
      </c>
      <c r="GS331" s="5">
        <v>3.3175594448790702E-2</v>
      </c>
      <c r="GT331" s="5">
        <v>8.7708699744183397E-2</v>
      </c>
      <c r="GU331" s="5">
        <v>-6.0475503286196303E-2</v>
      </c>
      <c r="GV331" s="5">
        <v>-0.106755255636916</v>
      </c>
      <c r="GW331" s="5">
        <v>0.197721024046287</v>
      </c>
      <c r="GX331" s="5">
        <v>0.18759685770599399</v>
      </c>
      <c r="GY331" s="5">
        <v>-5.4292764203119598E-2</v>
      </c>
      <c r="GZ331" s="5">
        <v>-0.72074110621925602</v>
      </c>
      <c r="HA331" s="5">
        <v>0.77889163957125795</v>
      </c>
      <c r="HB331" s="5">
        <v>0.10508575860472701</v>
      </c>
      <c r="HC331" s="5">
        <v>5.7109028902755397E-2</v>
      </c>
      <c r="HD331" s="5">
        <v>-3.7728172283476302E-2</v>
      </c>
      <c r="HE331" s="5">
        <v>-7.1315482082697796E-3</v>
      </c>
      <c r="HF331" s="5">
        <v>-0.61928815978023199</v>
      </c>
      <c r="HG331" s="5">
        <v>0.65225604429732598</v>
      </c>
      <c r="HH331" s="5">
        <v>-0.58936479141033205</v>
      </c>
      <c r="HI331" s="5">
        <v>0.69971563644953805</v>
      </c>
      <c r="HJ331" s="5">
        <v>-0.58702707025345102</v>
      </c>
      <c r="HK331" s="5">
        <v>0.60863435612711503</v>
      </c>
      <c r="HL331" s="5">
        <v>0.14612310551120999</v>
      </c>
      <c r="HM331" s="5">
        <v>-6.6831428860966699E-2</v>
      </c>
      <c r="HN331" s="5">
        <v>-0.56082981747169602</v>
      </c>
      <c r="HO331" s="5">
        <v>0.70061072521382906</v>
      </c>
      <c r="HP331" s="5">
        <v>8.1383292056921797E-2</v>
      </c>
      <c r="HQ331" s="5">
        <v>6.8381238848070805E-2</v>
      </c>
      <c r="HR331" s="5">
        <v>0.16136993063274199</v>
      </c>
      <c r="HS331" s="5">
        <v>-5.6862511669377898E-2</v>
      </c>
      <c r="HT331" s="5">
        <v>-0.50295624559539598</v>
      </c>
      <c r="HU331" s="5">
        <v>0.61756191233889102</v>
      </c>
      <c r="HV331" s="5">
        <v>1.0227686554532199E-2</v>
      </c>
      <c r="HW331" s="5">
        <v>6.9148018547425E-2</v>
      </c>
      <c r="HX331" s="5">
        <v>0.14125226430309201</v>
      </c>
      <c r="HY331" s="5">
        <v>-3.3039128073101103E-2</v>
      </c>
      <c r="HZ331" s="5">
        <v>-0.67979879646959196</v>
      </c>
      <c r="IA331" s="5">
        <v>0.80069760655834499</v>
      </c>
      <c r="IB331" s="5">
        <v>-0.42536435220698998</v>
      </c>
      <c r="IC331" s="5">
        <v>0.37650155729833301</v>
      </c>
      <c r="ID331" s="5">
        <v>-0.18129625320405801</v>
      </c>
      <c r="IE331" s="5">
        <v>0.46775257821939797</v>
      </c>
      <c r="IF331" s="5">
        <v>9.5978367771002202E-2</v>
      </c>
      <c r="IG331" s="5">
        <v>-1.15980357634199E-2</v>
      </c>
      <c r="IH331" s="5">
        <v>-0.14617332892844101</v>
      </c>
      <c r="II331" s="5">
        <v>0.26233532453351299</v>
      </c>
      <c r="IJ331" s="5">
        <v>0.234021814774731</v>
      </c>
      <c r="IK331" s="5">
        <v>-0.230852592958466</v>
      </c>
      <c r="IL331" s="5">
        <v>4.4484522640221402E-2</v>
      </c>
      <c r="IM331" s="5">
        <v>0.14047658783245601</v>
      </c>
      <c r="IN331" s="5">
        <v>0.17790357198342399</v>
      </c>
      <c r="IO331" s="5">
        <v>-8.6884886392647506E-2</v>
      </c>
      <c r="IP331" s="5">
        <v>-0.22552668364817799</v>
      </c>
      <c r="IQ331" s="5">
        <v>0.42938213353876997</v>
      </c>
      <c r="IR331" s="5">
        <v>0.21601974064247001</v>
      </c>
      <c r="IS331" s="5">
        <v>-0.10799587216867999</v>
      </c>
      <c r="IT331" s="5">
        <v>-1.60356928021572E-3</v>
      </c>
      <c r="IU331" s="5">
        <v>0.103449037962869</v>
      </c>
      <c r="IV331" s="5">
        <v>-0.18439715125085401</v>
      </c>
      <c r="IW331" s="5">
        <v>0.23130937092121201</v>
      </c>
      <c r="IX331" s="5">
        <v>2.8154051819018901E-2</v>
      </c>
      <c r="IY331" s="5">
        <v>6.3132292136013193E-2</v>
      </c>
      <c r="IZ331" s="5">
        <v>-0.58375400678370004</v>
      </c>
      <c r="JA331" s="5">
        <v>0.67319968431398103</v>
      </c>
      <c r="JB331" s="5">
        <v>-0.54532891720170895</v>
      </c>
      <c r="JC331" s="5">
        <v>0.578831696266631</v>
      </c>
      <c r="JD331" s="5">
        <v>-0.101728817696892</v>
      </c>
      <c r="JE331" s="5">
        <v>0.17601119304503801</v>
      </c>
      <c r="JF331" s="5">
        <v>-0.146343314921868</v>
      </c>
      <c r="JG331" s="5">
        <v>0.197871537882885</v>
      </c>
      <c r="JH331" s="5">
        <v>-7.6693095515176099E-2</v>
      </c>
      <c r="JI331" s="5">
        <v>7.4760709797437902E-2</v>
      </c>
      <c r="JJ331" s="5">
        <v>-8.3882054843199497E-3</v>
      </c>
      <c r="JK331" s="5">
        <v>0.17218007634136701</v>
      </c>
      <c r="JL331" s="5">
        <v>4.06807778360486E-2</v>
      </c>
      <c r="JM331" s="5">
        <v>0.112657482827917</v>
      </c>
      <c r="JN331" s="5">
        <v>1.05939862655868E-2</v>
      </c>
      <c r="JO331" s="5">
        <v>0.11006939272136999</v>
      </c>
      <c r="JP331" s="5">
        <v>0.14919570631029699</v>
      </c>
      <c r="JQ331" s="5">
        <v>-4.1654941893207401E-3</v>
      </c>
      <c r="JR331" s="5">
        <v>0.15569251818577001</v>
      </c>
      <c r="JS331" s="5">
        <v>-9.6345171597276603E-3</v>
      </c>
      <c r="JT331" s="5">
        <v>0.12681060295282801</v>
      </c>
      <c r="JU331" s="5">
        <v>-8.0049239470391095E-2</v>
      </c>
      <c r="JV331" s="5">
        <v>0.20663791140027599</v>
      </c>
      <c r="JW331" s="5">
        <v>-0.16893696873481001</v>
      </c>
      <c r="JX331" s="5">
        <v>-0.76096518077342101</v>
      </c>
      <c r="JY331" s="5">
        <v>0.84707186479202001</v>
      </c>
      <c r="JZ331" s="5">
        <v>-0.12235062975741499</v>
      </c>
      <c r="KA331" s="5">
        <v>0.241952242576675</v>
      </c>
      <c r="KB331" s="5">
        <v>-0.46777567515594798</v>
      </c>
      <c r="KC331" s="5">
        <v>0.48197282261054097</v>
      </c>
      <c r="KD331" s="5">
        <v>4.4337737510503697E-2</v>
      </c>
      <c r="KE331" s="5">
        <v>1.7522534414915199E-2</v>
      </c>
      <c r="KF331" s="5">
        <v>0.148611684287691</v>
      </c>
      <c r="KG331" s="5">
        <v>-0.158112187945638</v>
      </c>
      <c r="KH331" s="5">
        <v>0.23369139346381601</v>
      </c>
      <c r="KI331" s="5">
        <v>-0.129034586442065</v>
      </c>
      <c r="KJ331" s="5">
        <v>0.246498117725614</v>
      </c>
      <c r="KK331" s="5">
        <v>-6.9355796118556801E-2</v>
      </c>
      <c r="KL331" s="5">
        <v>0.12532449673111701</v>
      </c>
      <c r="KM331" s="5">
        <v>-0.140404331467158</v>
      </c>
      <c r="KN331" s="5">
        <v>-0.66621429000529098</v>
      </c>
      <c r="KO331" s="5">
        <v>0.80864685747962195</v>
      </c>
      <c r="KP331" s="5">
        <v>-0.40934009880109501</v>
      </c>
      <c r="KQ331" s="5">
        <v>0.356131435680069</v>
      </c>
      <c r="KR331" s="5">
        <v>-0.100778174021959</v>
      </c>
      <c r="KS331" s="5">
        <v>0.18407832802054899</v>
      </c>
      <c r="KT331" s="5">
        <v>0.20401463550246701</v>
      </c>
      <c r="KU331" s="5">
        <v>-9.4338936322604303E-2</v>
      </c>
      <c r="KV331" s="5">
        <v>-9.65562417128253E-2</v>
      </c>
      <c r="KW331" s="5">
        <v>0.18658291343776501</v>
      </c>
      <c r="KX331" s="5">
        <v>-7.28100413078204E-2</v>
      </c>
      <c r="KY331" s="5">
        <v>0.182497285344458</v>
      </c>
      <c r="KZ331" s="5">
        <v>-3.4910030117438701E-3</v>
      </c>
      <c r="LA331" s="5">
        <v>6.4315792798908797E-2</v>
      </c>
      <c r="LB331" s="5">
        <v>-1.1677998807978899E-2</v>
      </c>
      <c r="LC331" s="5">
        <v>0.11853177009603801</v>
      </c>
      <c r="LD331" s="5">
        <v>9.0469675825603196E-2</v>
      </c>
      <c r="LE331" s="5">
        <v>2.04591430306072E-2</v>
      </c>
      <c r="LF331" s="5">
        <v>-0.48072978969757901</v>
      </c>
      <c r="LG331" s="5">
        <v>0.66381247689895095</v>
      </c>
      <c r="LH331" s="5">
        <v>2.08157425360713E-2</v>
      </c>
      <c r="LI331" s="5">
        <v>0.10889889834451801</v>
      </c>
      <c r="LJ331" s="5">
        <v>-0.530594785761765</v>
      </c>
      <c r="LK331" s="5">
        <v>0.65963249069720697</v>
      </c>
      <c r="LL331" s="5">
        <v>-0.12215181413546999</v>
      </c>
      <c r="LM331" s="5">
        <v>0.17835853124231801</v>
      </c>
      <c r="LN331" s="5">
        <v>1.6071175001983799E-2</v>
      </c>
      <c r="LO331" s="5">
        <v>5.1686720736499402E-2</v>
      </c>
      <c r="LP331" s="5">
        <v>0.10631837761318</v>
      </c>
      <c r="LQ331" s="5">
        <v>4.3308873133123399E-2</v>
      </c>
      <c r="LR331" s="5">
        <v>-0.90398972067614203</v>
      </c>
      <c r="LS331" s="5">
        <v>1</v>
      </c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</row>
    <row r="332" spans="1:389" x14ac:dyDescent="0.45">
      <c r="A332" s="4" t="str">
        <f ca="1">"SVN / beta1dist in "&amp;CELL("address",'damages-1990'!$J$167)</f>
        <v>SVN / beta1dist in '[BHM betas v3pd.xlsx]damages-1990'!$J$167</v>
      </c>
      <c r="B332" s="6">
        <v>0.39998671716103401</v>
      </c>
      <c r="C332" s="5">
        <v>-0.210350682021682</v>
      </c>
      <c r="D332" s="5">
        <v>0.19510427094871299</v>
      </c>
      <c r="E332" s="5">
        <v>-0.26464279989654799</v>
      </c>
      <c r="F332" s="5">
        <v>0.669302566323559</v>
      </c>
      <c r="G332" s="5">
        <v>-0.54465324942345295</v>
      </c>
      <c r="H332" s="5">
        <v>0.576409034085274</v>
      </c>
      <c r="I332" s="5">
        <v>-0.39419054979269202</v>
      </c>
      <c r="J332" s="5">
        <v>-2.1797675078201899E-2</v>
      </c>
      <c r="K332" s="5">
        <v>-7.7881426017276795E-2</v>
      </c>
      <c r="L332" s="5">
        <v>0.24253560954016601</v>
      </c>
      <c r="M332" s="5">
        <v>-6.5873195570631399E-2</v>
      </c>
      <c r="N332" s="5">
        <v>0.54279243545496103</v>
      </c>
      <c r="O332" s="5">
        <v>-0.32275134997007399</v>
      </c>
      <c r="P332" s="5">
        <v>0.202054553883391</v>
      </c>
      <c r="Q332" s="5">
        <v>-0.27268944991050098</v>
      </c>
      <c r="R332" s="5">
        <v>9.0823204312241394E-3</v>
      </c>
      <c r="S332" s="5">
        <v>-6.3245156712047196E-2</v>
      </c>
      <c r="T332" s="5">
        <v>0.86665689715813998</v>
      </c>
      <c r="U332" s="5">
        <v>-0.731594955817917</v>
      </c>
      <c r="V332" s="5">
        <v>0.42478337444049902</v>
      </c>
      <c r="W332" s="5">
        <v>-0.262549768151774</v>
      </c>
      <c r="X332" s="5">
        <v>0.211983753546544</v>
      </c>
      <c r="Y332" s="5">
        <v>-0.23749267480030001</v>
      </c>
      <c r="Z332" s="5">
        <v>0.78030314229429898</v>
      </c>
      <c r="AA332" s="5">
        <v>-0.63293190622921103</v>
      </c>
      <c r="AB332" s="5">
        <v>0.14106736063653899</v>
      </c>
      <c r="AC332" s="5">
        <v>-0.19115323537086301</v>
      </c>
      <c r="AD332" s="5">
        <v>0.15088669103801899</v>
      </c>
      <c r="AE332" s="5">
        <v>-0.18432798356892599</v>
      </c>
      <c r="AF332" s="5">
        <v>-6.8008874368612804E-2</v>
      </c>
      <c r="AG332" s="5">
        <v>-2.5789299193736299E-2</v>
      </c>
      <c r="AH332" s="5">
        <v>0.73038534202739303</v>
      </c>
      <c r="AI332" s="5">
        <v>-0.60973502325643003</v>
      </c>
      <c r="AJ332" s="5">
        <v>-8.4523389245670294E-2</v>
      </c>
      <c r="AK332" s="5">
        <v>-2.2035409037575799E-2</v>
      </c>
      <c r="AL332" s="5">
        <v>-0.157841935544594</v>
      </c>
      <c r="AM332" s="5">
        <v>0.14191378045720701</v>
      </c>
      <c r="AN332" s="5">
        <v>0.88092386641632203</v>
      </c>
      <c r="AO332" s="5">
        <v>-0.76543898767337104</v>
      </c>
      <c r="AP332" s="5">
        <v>0.61074124606707003</v>
      </c>
      <c r="AQ332" s="5">
        <v>-0.43201589371533</v>
      </c>
      <c r="AR332" s="5">
        <v>-4.1890528096897098E-2</v>
      </c>
      <c r="AS332" s="5">
        <v>-1.96085542722951E-2</v>
      </c>
      <c r="AT332" s="5">
        <v>-0.21120708458800899</v>
      </c>
      <c r="AU332" s="5">
        <v>0.19724612958391399</v>
      </c>
      <c r="AV332" s="5">
        <v>-2.4330516715468101E-2</v>
      </c>
      <c r="AW332" s="5">
        <v>-5.9901215566247598E-2</v>
      </c>
      <c r="AX332" s="5">
        <v>-2.9382386899066502E-2</v>
      </c>
      <c r="AY332" s="5">
        <v>-0.139320701001381</v>
      </c>
      <c r="AZ332" s="5">
        <v>0.20794065062254599</v>
      </c>
      <c r="BA332" s="5">
        <v>-0.250546947979506</v>
      </c>
      <c r="BB332" s="5">
        <v>-1.13744704324841E-2</v>
      </c>
      <c r="BC332" s="5">
        <v>-0.102922302629395</v>
      </c>
      <c r="BD332" s="5">
        <v>0.55215831100533197</v>
      </c>
      <c r="BE332" s="5">
        <v>-0.33444320091850599</v>
      </c>
      <c r="BF332" s="5">
        <v>0.216325831930682</v>
      </c>
      <c r="BG332" s="5">
        <v>-0.30661775661870799</v>
      </c>
      <c r="BH332" s="5">
        <v>0.112064948999852</v>
      </c>
      <c r="BI332" s="5">
        <v>-0.17379376244175301</v>
      </c>
      <c r="BJ332" s="5">
        <v>0.52202082214719503</v>
      </c>
      <c r="BK332" s="5">
        <v>-0.254972015287245</v>
      </c>
      <c r="BL332" s="5">
        <v>0.80685140419758905</v>
      </c>
      <c r="BM332" s="5">
        <v>-0.66050204992572104</v>
      </c>
      <c r="BN332" s="5">
        <v>0.472154774661939</v>
      </c>
      <c r="BO332" s="5">
        <v>-0.16140844689247499</v>
      </c>
      <c r="BP332" s="5">
        <v>0.56568403160830605</v>
      </c>
      <c r="BQ332" s="5">
        <v>-0.284267775062719</v>
      </c>
      <c r="BR332" s="5">
        <v>0.170548339435456</v>
      </c>
      <c r="BS332" s="5">
        <v>-0.19976526709759901</v>
      </c>
      <c r="BT332" s="5">
        <v>7.2842704522523505E-2</v>
      </c>
      <c r="BU332" s="5">
        <v>-0.13863059581919501</v>
      </c>
      <c r="BV332" s="5">
        <v>9.1541380117097698E-2</v>
      </c>
      <c r="BW332" s="5">
        <v>-0.174048184304327</v>
      </c>
      <c r="BX332" s="5">
        <v>3.91421605684181E-2</v>
      </c>
      <c r="BY332" s="5">
        <v>-0.10784078214756999</v>
      </c>
      <c r="BZ332" s="5">
        <v>-5.0894406092757E-3</v>
      </c>
      <c r="CA332" s="5">
        <v>-0.11950749410624099</v>
      </c>
      <c r="CB332" s="5">
        <v>-5.2500421428142201E-2</v>
      </c>
      <c r="CC332" s="5">
        <v>-1.43521781910281E-2</v>
      </c>
      <c r="CD332" s="5">
        <v>9.3824635517765403E-2</v>
      </c>
      <c r="CE332" s="5">
        <v>-0.13823831010637799</v>
      </c>
      <c r="CF332" s="5">
        <v>7.4533087752969907E-2</v>
      </c>
      <c r="CG332" s="5">
        <v>-0.13214737419724401</v>
      </c>
      <c r="CH332" s="5">
        <v>-0.10817434427981699</v>
      </c>
      <c r="CI332" s="5">
        <v>7.8342184440378201E-2</v>
      </c>
      <c r="CJ332" s="5">
        <v>-9.6087905133455803E-2</v>
      </c>
      <c r="CK332" s="5">
        <v>0.176617566398002</v>
      </c>
      <c r="CL332" s="5">
        <v>0.87711666212675898</v>
      </c>
      <c r="CM332" s="5">
        <v>-0.743506376279499</v>
      </c>
      <c r="CN332" s="5">
        <v>0.83560665964293002</v>
      </c>
      <c r="CO332" s="5">
        <v>-0.69873572765480196</v>
      </c>
      <c r="CP332" s="5">
        <v>8.7257651969510394E-2</v>
      </c>
      <c r="CQ332" s="5">
        <v>-0.120996522091725</v>
      </c>
      <c r="CR332" s="5">
        <v>0.221915567528403</v>
      </c>
      <c r="CS332" s="5">
        <v>-0.254145645889159</v>
      </c>
      <c r="CT332" s="5">
        <v>0.69728330835096097</v>
      </c>
      <c r="CU332" s="5">
        <v>-0.54290581084927203</v>
      </c>
      <c r="CV332" s="5">
        <v>0.175904011377782</v>
      </c>
      <c r="CW332" s="5">
        <v>-0.22369521897070299</v>
      </c>
      <c r="CX332" s="5">
        <v>-3.2916256357747899E-2</v>
      </c>
      <c r="CY332" s="5">
        <v>-1.53093722870062E-2</v>
      </c>
      <c r="CZ332" s="5">
        <v>6.9700373892621903E-2</v>
      </c>
      <c r="DA332" s="5">
        <v>-0.175017328829428</v>
      </c>
      <c r="DB332" s="5">
        <v>-8.1427696199993002E-2</v>
      </c>
      <c r="DC332" s="5">
        <v>3.2716647628062499E-2</v>
      </c>
      <c r="DD332" s="5">
        <v>0.15896421543098599</v>
      </c>
      <c r="DE332" s="5">
        <v>-0.170975292960967</v>
      </c>
      <c r="DF332" s="5">
        <v>-3.6480582431368601E-3</v>
      </c>
      <c r="DG332" s="5">
        <v>-2.4890361049706301E-2</v>
      </c>
      <c r="DH332" s="5">
        <v>0.43032794250116502</v>
      </c>
      <c r="DI332" s="5">
        <v>-0.28814874984516198</v>
      </c>
      <c r="DJ332" s="5">
        <v>0.52682946770459405</v>
      </c>
      <c r="DK332" s="5">
        <v>-0.358025501671561</v>
      </c>
      <c r="DL332" s="5">
        <v>0.19437748526239701</v>
      </c>
      <c r="DM332" s="5">
        <v>-0.186842836570593</v>
      </c>
      <c r="DN332" s="5">
        <v>0.46941085746341599</v>
      </c>
      <c r="DO332" s="5">
        <v>-0.29810597926935301</v>
      </c>
      <c r="DP332" s="5">
        <v>-4.0106998760775399E-2</v>
      </c>
      <c r="DQ332" s="5">
        <v>4.21433728320054E-2</v>
      </c>
      <c r="DR332" s="5">
        <v>0.73237714550905797</v>
      </c>
      <c r="DS332" s="5">
        <v>-0.618024944738233</v>
      </c>
      <c r="DT332" s="5">
        <v>-8.7789508003916397E-2</v>
      </c>
      <c r="DU332" s="5">
        <v>6.0533111321182803E-2</v>
      </c>
      <c r="DV332" s="5">
        <v>9.4734881864689396E-2</v>
      </c>
      <c r="DW332" s="5">
        <v>-0.15496118100772599</v>
      </c>
      <c r="DX332" s="5">
        <v>0.60373276919874197</v>
      </c>
      <c r="DY332" s="5">
        <v>-0.390502167985676</v>
      </c>
      <c r="DZ332" s="5">
        <v>0.58318014014487496</v>
      </c>
      <c r="EA332" s="5">
        <v>-0.385096494672441</v>
      </c>
      <c r="EB332" s="5">
        <v>0.12401090808378799</v>
      </c>
      <c r="EC332" s="5">
        <v>-0.172121505866975</v>
      </c>
      <c r="ED332" s="5">
        <v>0.14372348704358201</v>
      </c>
      <c r="EE332" s="5">
        <v>-0.19135277618289601</v>
      </c>
      <c r="EF332" s="5">
        <v>0.22840682336246601</v>
      </c>
      <c r="EG332" s="5">
        <v>-0.27179862525481002</v>
      </c>
      <c r="EH332" s="5">
        <v>0.122395370818947</v>
      </c>
      <c r="EI332" s="5">
        <v>-0.19220222087503799</v>
      </c>
      <c r="EJ332" s="5">
        <v>0.13995644852255801</v>
      </c>
      <c r="EK332" s="5">
        <v>-0.21892003145597499</v>
      </c>
      <c r="EL332" s="5">
        <v>3.3483739854093301E-3</v>
      </c>
      <c r="EM332" s="5">
        <v>-3.40369138510676E-2</v>
      </c>
      <c r="EN332" s="5">
        <v>0.19861240272358499</v>
      </c>
      <c r="EO332" s="5">
        <v>-2.9849592241796698E-2</v>
      </c>
      <c r="EP332" s="5">
        <v>0.234085050324773</v>
      </c>
      <c r="EQ332" s="5">
        <v>-0.28087880192532999</v>
      </c>
      <c r="ER332" s="5">
        <v>2.9090769363500101E-2</v>
      </c>
      <c r="ES332" s="5">
        <v>-0.10290907771900901</v>
      </c>
      <c r="ET332" s="5">
        <v>6.4606880367360398E-2</v>
      </c>
      <c r="EU332" s="5">
        <v>-0.18710159969182799</v>
      </c>
      <c r="EV332" s="5">
        <v>4.1487432172988798E-4</v>
      </c>
      <c r="EW332" s="5">
        <v>-0.13396842926091401</v>
      </c>
      <c r="EX332" s="5">
        <v>-1.30087888989662E-2</v>
      </c>
      <c r="EY332" s="5">
        <v>-7.7078610268808606E-2</v>
      </c>
      <c r="EZ332" s="5">
        <v>2.50500918643266E-2</v>
      </c>
      <c r="FA332" s="5">
        <v>-7.6817379625672796E-2</v>
      </c>
      <c r="FB332" s="5">
        <v>0.80989502104827604</v>
      </c>
      <c r="FC332" s="5">
        <v>-0.72690162347728404</v>
      </c>
      <c r="FD332" s="5">
        <v>9.9325564567219998E-2</v>
      </c>
      <c r="FE332" s="5">
        <v>-0.15056991335148401</v>
      </c>
      <c r="FF332" s="5">
        <v>0.84026789863747897</v>
      </c>
      <c r="FG332" s="5">
        <v>-0.73512287120694497</v>
      </c>
      <c r="FH332" s="5">
        <v>-0.120714189257598</v>
      </c>
      <c r="FI332" s="5">
        <v>0.13493750703205301</v>
      </c>
      <c r="FJ332" s="5">
        <v>0.105986987623391</v>
      </c>
      <c r="FK332" s="5">
        <v>-0.19167876942501799</v>
      </c>
      <c r="FL332" s="5">
        <v>0.41891666404153999</v>
      </c>
      <c r="FM332" s="5">
        <v>-0.13385542232615599</v>
      </c>
      <c r="FN332" s="5">
        <v>0.17434984880218499</v>
      </c>
      <c r="FO332" s="5">
        <v>-9.2351901634668596E-2</v>
      </c>
      <c r="FP332" s="5">
        <v>-8.4396071091600494E-2</v>
      </c>
      <c r="FQ332" s="5">
        <v>8.8847402515711896E-2</v>
      </c>
      <c r="FR332" s="5">
        <v>0.12766230865099901</v>
      </c>
      <c r="FS332" s="5">
        <v>0.190428838199939</v>
      </c>
      <c r="FT332" s="5">
        <v>-6.8065277739985899E-2</v>
      </c>
      <c r="FU332" s="5">
        <v>0.107663530528305</v>
      </c>
      <c r="FV332" s="5">
        <v>0.62651077540581201</v>
      </c>
      <c r="FW332" s="5">
        <v>-0.553382958238404</v>
      </c>
      <c r="FX332" s="5">
        <v>2.5352288125292399E-2</v>
      </c>
      <c r="FY332" s="5">
        <v>-8.7576939441371501E-2</v>
      </c>
      <c r="FZ332" s="5">
        <v>-6.22209134581596E-3</v>
      </c>
      <c r="GA332" s="5">
        <v>4.7841998400731799E-2</v>
      </c>
      <c r="GB332" s="5">
        <v>0.68854722907249299</v>
      </c>
      <c r="GC332" s="5">
        <v>-0.56224067546674406</v>
      </c>
      <c r="GD332" s="5">
        <v>0.53104703873338799</v>
      </c>
      <c r="GE332" s="5">
        <v>-0.316390321179365</v>
      </c>
      <c r="GF332" s="5">
        <v>4.6419508655909901E-2</v>
      </c>
      <c r="GG332" s="5">
        <v>-0.118916912321716</v>
      </c>
      <c r="GH332" s="5">
        <v>0.34683410452608299</v>
      </c>
      <c r="GI332" s="5">
        <v>-2.69837202647095E-2</v>
      </c>
      <c r="GJ332" s="5">
        <v>-4.5572125836274097E-2</v>
      </c>
      <c r="GK332" s="5">
        <v>-4.31407613219583E-2</v>
      </c>
      <c r="GL332" s="5">
        <v>0.243848145714992</v>
      </c>
      <c r="GM332" s="5">
        <v>-0.29184658784261802</v>
      </c>
      <c r="GN332" s="5">
        <v>0.64042993107817303</v>
      </c>
      <c r="GO332" s="5">
        <v>-0.52948275529605504</v>
      </c>
      <c r="GP332" s="5">
        <v>-8.5933142669069498E-2</v>
      </c>
      <c r="GQ332" s="5">
        <v>1.0413951586134401E-2</v>
      </c>
      <c r="GR332" s="5">
        <v>2.3429363460128499E-2</v>
      </c>
      <c r="GS332" s="5">
        <v>-7.9286890993546896E-2</v>
      </c>
      <c r="GT332" s="5">
        <v>0.177415585481523</v>
      </c>
      <c r="GU332" s="5">
        <v>9.5117679673843002E-3</v>
      </c>
      <c r="GV332" s="5">
        <v>0.16441063374468001</v>
      </c>
      <c r="GW332" s="5">
        <v>-0.22704758027664201</v>
      </c>
      <c r="GX332" s="5">
        <v>-6.6725703978999906E-2</v>
      </c>
      <c r="GY332" s="5">
        <v>3.18065961643249E-2</v>
      </c>
      <c r="GZ332" s="5">
        <v>0.81815455719974195</v>
      </c>
      <c r="HA332" s="5">
        <v>-0.67859416262762495</v>
      </c>
      <c r="HB332" s="5">
        <v>3.0170983630687299E-2</v>
      </c>
      <c r="HC332" s="5">
        <v>-0.15397796946222</v>
      </c>
      <c r="HD332" s="5">
        <v>0.38157973185932598</v>
      </c>
      <c r="HE332" s="5">
        <v>-7.9831774421773694E-2</v>
      </c>
      <c r="HF332" s="5">
        <v>0.61840325584688005</v>
      </c>
      <c r="HG332" s="5">
        <v>-0.44517806216945799</v>
      </c>
      <c r="HH332" s="5">
        <v>0.80052335054827395</v>
      </c>
      <c r="HI332" s="5">
        <v>-0.66003556187040902</v>
      </c>
      <c r="HJ332" s="5">
        <v>0.57255898283815498</v>
      </c>
      <c r="HK332" s="5">
        <v>-0.40358513106576799</v>
      </c>
      <c r="HL332" s="5">
        <v>0.12689933173556001</v>
      </c>
      <c r="HM332" s="5">
        <v>-6.7652132821602401E-2</v>
      </c>
      <c r="HN332" s="5">
        <v>0.73904496704901301</v>
      </c>
      <c r="HO332" s="5">
        <v>-0.61352243808672302</v>
      </c>
      <c r="HP332" s="5">
        <v>3.5281556673188899E-2</v>
      </c>
      <c r="HQ332" s="5">
        <v>-9.0142396950844902E-2</v>
      </c>
      <c r="HR332" s="5">
        <v>3.4400622329356499E-2</v>
      </c>
      <c r="HS332" s="5">
        <v>-6.5465087505304595E-2</v>
      </c>
      <c r="HT332" s="5">
        <v>0.778961075404908</v>
      </c>
      <c r="HU332" s="5">
        <v>-0.64402396252009797</v>
      </c>
      <c r="HV332" s="5">
        <v>3.8653267848800001E-2</v>
      </c>
      <c r="HW332" s="5">
        <v>-9.0826024957780596E-2</v>
      </c>
      <c r="HX332" s="5">
        <v>1.33952649418261E-2</v>
      </c>
      <c r="HY332" s="5">
        <v>-6.6174460762287002E-2</v>
      </c>
      <c r="HZ332" s="5">
        <v>0.85973779701574904</v>
      </c>
      <c r="IA332" s="5">
        <v>-0.73101780627026902</v>
      </c>
      <c r="IB332" s="5">
        <v>0.42385432908759901</v>
      </c>
      <c r="IC332" s="5">
        <v>-0.23416675313401999</v>
      </c>
      <c r="ID332" s="5">
        <v>0.181131782345232</v>
      </c>
      <c r="IE332" s="5">
        <v>-0.35726470461044701</v>
      </c>
      <c r="IF332" s="5">
        <v>1.18871734980031E-3</v>
      </c>
      <c r="IG332" s="5">
        <v>-5.0055889936611503E-2</v>
      </c>
      <c r="IH332" s="5">
        <v>0.20014321142336799</v>
      </c>
      <c r="II332" s="5">
        <v>-0.25510706112911802</v>
      </c>
      <c r="IJ332" s="5">
        <v>-0.112836999647625</v>
      </c>
      <c r="IK332" s="5">
        <v>0.120519604761143</v>
      </c>
      <c r="IL332" s="5">
        <v>3.7386290767163002E-2</v>
      </c>
      <c r="IM332" s="5">
        <v>-0.13467664382187899</v>
      </c>
      <c r="IN332" s="5">
        <v>-7.8951282674683695E-2</v>
      </c>
      <c r="IO332" s="5">
        <v>3.2852655258440201E-2</v>
      </c>
      <c r="IP332" s="5">
        <v>0.26906564615495598</v>
      </c>
      <c r="IQ332" s="5">
        <v>-0.345027316585442</v>
      </c>
      <c r="IR332" s="5">
        <v>-2.4720871847448801E-2</v>
      </c>
      <c r="IS332" s="5">
        <v>-6.6007168662810698E-3</v>
      </c>
      <c r="IT332" s="5">
        <v>4.5930498380478503E-2</v>
      </c>
      <c r="IU332" s="5">
        <v>-9.9115451800608295E-2</v>
      </c>
      <c r="IV332" s="5">
        <v>0.205221789611501</v>
      </c>
      <c r="IW332" s="5">
        <v>-0.23197563754046399</v>
      </c>
      <c r="IX332" s="5">
        <v>5.3420377039825197E-2</v>
      </c>
      <c r="IY332" s="5">
        <v>-0.115940436504301</v>
      </c>
      <c r="IZ332" s="5">
        <v>0.77129555483258305</v>
      </c>
      <c r="JA332" s="5">
        <v>-0.61898054322200402</v>
      </c>
      <c r="JB332" s="5">
        <v>0.55433665497413598</v>
      </c>
      <c r="JC332" s="5">
        <v>-0.40509288676566002</v>
      </c>
      <c r="JD332" s="5">
        <v>0.45088315361833098</v>
      </c>
      <c r="JE332" s="5">
        <v>-0.29298472519364399</v>
      </c>
      <c r="JF332" s="5">
        <v>5.4688017600418901E-2</v>
      </c>
      <c r="JG332" s="5">
        <v>-8.9677057880585997E-2</v>
      </c>
      <c r="JH332" s="5">
        <v>0.43695460616919002</v>
      </c>
      <c r="JI332" s="5">
        <v>-0.21049575824292999</v>
      </c>
      <c r="JJ332" s="5">
        <v>0.101931053454904</v>
      </c>
      <c r="JK332" s="5">
        <v>-0.17941220627771901</v>
      </c>
      <c r="JL332" s="5">
        <v>0.152366859556929</v>
      </c>
      <c r="JM332" s="5">
        <v>-0.18335252733951801</v>
      </c>
      <c r="JN332" s="5">
        <v>7.0742602584906E-2</v>
      </c>
      <c r="JO332" s="5">
        <v>-0.16367869198266899</v>
      </c>
      <c r="JP332" s="5">
        <v>3.2964420088548198E-2</v>
      </c>
      <c r="JQ332" s="5">
        <v>-9.4299377346191704E-2</v>
      </c>
      <c r="JR332" s="5">
        <v>-8.7501052650051994E-2</v>
      </c>
      <c r="JS332" s="5">
        <v>3.7822847005537903E-2</v>
      </c>
      <c r="JT332" s="5">
        <v>-0.12442781258548199</v>
      </c>
      <c r="JU332" s="5">
        <v>0.104173298383323</v>
      </c>
      <c r="JV332" s="5">
        <v>-5.6041555179804303E-2</v>
      </c>
      <c r="JW332" s="5">
        <v>2.6919863733100301E-2</v>
      </c>
      <c r="JX332" s="5">
        <v>0.797904068478689</v>
      </c>
      <c r="JY332" s="5">
        <v>-0.64633120743092398</v>
      </c>
      <c r="JZ332" s="5">
        <v>0.189062816684543</v>
      </c>
      <c r="KA332" s="5">
        <v>-0.24647593146246399</v>
      </c>
      <c r="KB332" s="5">
        <v>0.61930105107627298</v>
      </c>
      <c r="KC332" s="5">
        <v>-0.43274932088579598</v>
      </c>
      <c r="KD332" s="5">
        <v>0.253038401359229</v>
      </c>
      <c r="KE332" s="5">
        <v>-0.138220674365548</v>
      </c>
      <c r="KF332" s="5">
        <v>-7.1898739252557603E-2</v>
      </c>
      <c r="KG332" s="5">
        <v>5.9158424107505103E-2</v>
      </c>
      <c r="KH332" s="5">
        <v>-4.59648186787915E-2</v>
      </c>
      <c r="KI332" s="5">
        <v>0.10529081533052401</v>
      </c>
      <c r="KJ332" s="5">
        <v>-9.4082540762101E-2</v>
      </c>
      <c r="KK332" s="5">
        <v>-2.0918286980164201E-2</v>
      </c>
      <c r="KL332" s="5">
        <v>0.121627953765008</v>
      </c>
      <c r="KM332" s="5">
        <v>2.3585186664136198E-2</v>
      </c>
      <c r="KN332" s="5">
        <v>0.81404645581205604</v>
      </c>
      <c r="KO332" s="5">
        <v>-0.68902358254114104</v>
      </c>
      <c r="KP332" s="5">
        <v>0.40703892115582802</v>
      </c>
      <c r="KQ332" s="5">
        <v>-0.20215701396788899</v>
      </c>
      <c r="KR332" s="5">
        <v>0.22445725377537501</v>
      </c>
      <c r="KS332" s="5">
        <v>-0.20228825996611499</v>
      </c>
      <c r="KT332" s="5">
        <v>-6.09839034893081E-2</v>
      </c>
      <c r="KU332" s="5">
        <v>1.0745184567132899E-2</v>
      </c>
      <c r="KV332" s="5">
        <v>0.152735224252876</v>
      </c>
      <c r="KW332" s="5">
        <v>-0.204243548704172</v>
      </c>
      <c r="KX332" s="5">
        <v>0.120983664115889</v>
      </c>
      <c r="KY332" s="5">
        <v>-0.184802775254237</v>
      </c>
      <c r="KZ332" s="5">
        <v>6.9994404703191307E-2</v>
      </c>
      <c r="LA332" s="5">
        <v>-9.8644487399212694E-2</v>
      </c>
      <c r="LB332" s="5">
        <v>9.5594228895661298E-2</v>
      </c>
      <c r="LC332" s="5">
        <v>-0.15554736275289799</v>
      </c>
      <c r="LD332" s="5">
        <v>-2.0191279142248702E-3</v>
      </c>
      <c r="LE332" s="5">
        <v>-7.7330467356537494E-2</v>
      </c>
      <c r="LF332" s="5">
        <v>0.80871347171330699</v>
      </c>
      <c r="LG332" s="5">
        <v>-0.75084011709371401</v>
      </c>
      <c r="LH332" s="5">
        <v>5.60807368351195E-2</v>
      </c>
      <c r="LI332" s="5">
        <v>-0.13098876872527501</v>
      </c>
      <c r="LJ332" s="5">
        <v>0.80093158837452205</v>
      </c>
      <c r="LK332" s="5">
        <v>-0.67905236065135599</v>
      </c>
      <c r="LL332" s="5">
        <v>0.178592111073752</v>
      </c>
      <c r="LM332" s="5">
        <v>-0.217226428915646</v>
      </c>
      <c r="LN332" s="5">
        <v>8.8769617942295903E-2</v>
      </c>
      <c r="LO332" s="5">
        <v>-8.5192486176066007E-2</v>
      </c>
      <c r="LP332" s="5">
        <v>-1.8701233879031401E-2</v>
      </c>
      <c r="LQ332" s="5">
        <v>-0.103449288027897</v>
      </c>
      <c r="LR332" s="5">
        <v>0.85809223825054504</v>
      </c>
      <c r="LS332" s="5">
        <v>-0.72403644759382302</v>
      </c>
      <c r="LT332" s="5">
        <v>1</v>
      </c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</row>
    <row r="333" spans="1:389" x14ac:dyDescent="0.45">
      <c r="A333" s="4" t="str">
        <f ca="1">"SVN / beta2dist in "&amp;CELL("address",'damages-1990'!$K$167)</f>
        <v>SVN / beta2dist in '[BHM betas v3pd.xlsx]damages-1990'!$K$167</v>
      </c>
      <c r="B333" s="6">
        <v>-8.8801422798185106E-2</v>
      </c>
      <c r="C333" s="5">
        <v>0.133614138823966</v>
      </c>
      <c r="D333" s="5">
        <v>-0.120589412820106</v>
      </c>
      <c r="E333" s="5">
        <v>0.31384543722019997</v>
      </c>
      <c r="F333" s="5">
        <v>-0.42473150921457897</v>
      </c>
      <c r="G333" s="5">
        <v>0.55014198231584899</v>
      </c>
      <c r="H333" s="5">
        <v>-0.48523449036033001</v>
      </c>
      <c r="I333" s="5">
        <v>0.46289485839910599</v>
      </c>
      <c r="J333" s="5">
        <v>0.114152605731245</v>
      </c>
      <c r="K333" s="5">
        <v>8.1683716168851603E-2</v>
      </c>
      <c r="L333" s="5">
        <v>1.6061184768964901E-2</v>
      </c>
      <c r="M333" s="5">
        <v>8.5205011304796893E-3</v>
      </c>
      <c r="N333" s="5">
        <v>-0.35188350998185502</v>
      </c>
      <c r="O333" s="5">
        <v>0.34391343383468997</v>
      </c>
      <c r="P333" s="5">
        <v>-0.224224451151839</v>
      </c>
      <c r="Q333" s="5">
        <v>0.35468667412955301</v>
      </c>
      <c r="R333" s="5">
        <v>0.15090595831956699</v>
      </c>
      <c r="S333" s="5">
        <v>3.2812900657847102E-2</v>
      </c>
      <c r="T333" s="5">
        <v>-0.81831823308714802</v>
      </c>
      <c r="U333" s="5">
        <v>0.86904280292033798</v>
      </c>
      <c r="V333" s="5">
        <v>-0.11937655104891</v>
      </c>
      <c r="W333" s="5">
        <v>0.193550843377956</v>
      </c>
      <c r="X333" s="5">
        <v>-0.11268322130058001</v>
      </c>
      <c r="Y333" s="5">
        <v>0.27365493833680399</v>
      </c>
      <c r="Z333" s="5">
        <v>-0.61739120120367796</v>
      </c>
      <c r="AA333" s="5">
        <v>0.70175591145266103</v>
      </c>
      <c r="AB333" s="5">
        <v>-0.12668285397860099</v>
      </c>
      <c r="AC333" s="5">
        <v>0.23631621109176801</v>
      </c>
      <c r="AD333" s="5">
        <v>-0.128955465197132</v>
      </c>
      <c r="AE333" s="5">
        <v>0.23109196989894201</v>
      </c>
      <c r="AF333" s="5">
        <v>0.14385165726752999</v>
      </c>
      <c r="AG333" s="5">
        <v>3.5391238346786001E-2</v>
      </c>
      <c r="AH333" s="5">
        <v>-0.52137643120141797</v>
      </c>
      <c r="AI333" s="5">
        <v>0.65517145955605105</v>
      </c>
      <c r="AJ333" s="5">
        <v>0.18156404339941701</v>
      </c>
      <c r="AK333" s="5">
        <v>1.4657547090020101E-2</v>
      </c>
      <c r="AL333" s="5">
        <v>0.25555278454827501</v>
      </c>
      <c r="AM333" s="5">
        <v>-0.19582801635245001</v>
      </c>
      <c r="AN333" s="5">
        <v>-0.727637963014103</v>
      </c>
      <c r="AO333" s="5">
        <v>0.86402562288241702</v>
      </c>
      <c r="AP333" s="5">
        <v>-0.50509984926466001</v>
      </c>
      <c r="AQ333" s="5">
        <v>0.49189336509967901</v>
      </c>
      <c r="AR333" s="5">
        <v>0.110550861645881</v>
      </c>
      <c r="AS333" s="5">
        <v>2.6702480900132899E-2</v>
      </c>
      <c r="AT333" s="5">
        <v>0.33576108377380498</v>
      </c>
      <c r="AU333" s="5">
        <v>-0.27767791639895401</v>
      </c>
      <c r="AV333" s="5">
        <v>0.16753278034715</v>
      </c>
      <c r="AW333" s="5">
        <v>3.8000640321219997E-2</v>
      </c>
      <c r="AX333" s="5">
        <v>0.11414195542694799</v>
      </c>
      <c r="AY333" s="5">
        <v>0.160802048185885</v>
      </c>
      <c r="AZ333" s="5">
        <v>-0.22904259125186299</v>
      </c>
      <c r="BA333" s="5">
        <v>0.32412223698593001</v>
      </c>
      <c r="BB333" s="5">
        <v>8.2391409291881906E-2</v>
      </c>
      <c r="BC333" s="5">
        <v>0.13896342667704101</v>
      </c>
      <c r="BD333" s="5">
        <v>-0.249882404352996</v>
      </c>
      <c r="BE333" s="5">
        <v>0.28046148600837301</v>
      </c>
      <c r="BF333" s="5">
        <v>-0.19172121508359599</v>
      </c>
      <c r="BG333" s="5">
        <v>0.38616358862370898</v>
      </c>
      <c r="BH333" s="5">
        <v>-5.5747137981617602E-2</v>
      </c>
      <c r="BI333" s="5">
        <v>0.21452997034346499</v>
      </c>
      <c r="BJ333" s="5">
        <v>-0.47974096396307703</v>
      </c>
      <c r="BK333" s="5">
        <v>0.314286134443028</v>
      </c>
      <c r="BL333" s="5">
        <v>-0.752010570109374</v>
      </c>
      <c r="BM333" s="5">
        <v>0.78507814897787398</v>
      </c>
      <c r="BN333" s="5">
        <v>-0.232225924182694</v>
      </c>
      <c r="BO333" s="5">
        <v>0.147636386880937</v>
      </c>
      <c r="BP333" s="5">
        <v>-0.30690904620805698</v>
      </c>
      <c r="BQ333" s="5">
        <v>0.22349468675305501</v>
      </c>
      <c r="BR333" s="5">
        <v>-0.155353214677273</v>
      </c>
      <c r="BS333" s="5">
        <v>0.25681943802582202</v>
      </c>
      <c r="BT333" s="5">
        <v>7.6086455830509103E-3</v>
      </c>
      <c r="BU333" s="5">
        <v>0.16573046822123499</v>
      </c>
      <c r="BV333" s="5">
        <v>-2.0127163777570501E-2</v>
      </c>
      <c r="BW333" s="5">
        <v>0.20488923889139499</v>
      </c>
      <c r="BX333" s="5">
        <v>2.4502422717725899E-2</v>
      </c>
      <c r="BY333" s="5">
        <v>0.128840438883703</v>
      </c>
      <c r="BZ333" s="5">
        <v>7.0151819710267294E-2</v>
      </c>
      <c r="CA333" s="5">
        <v>0.14392675491153301</v>
      </c>
      <c r="CB333" s="5">
        <v>0.11556421576409801</v>
      </c>
      <c r="CC333" s="5">
        <v>2.1688353217611402E-2</v>
      </c>
      <c r="CD333" s="5">
        <v>-1.5985003665575301E-2</v>
      </c>
      <c r="CE333" s="5">
        <v>0.136590968428288</v>
      </c>
      <c r="CF333" s="5">
        <v>-4.4290838713911401E-2</v>
      </c>
      <c r="CG333" s="5">
        <v>0.15647800266829701</v>
      </c>
      <c r="CH333" s="5">
        <v>0.18574937456799501</v>
      </c>
      <c r="CI333" s="5">
        <v>-0.109877784411218</v>
      </c>
      <c r="CJ333" s="5">
        <v>0.28820622000497198</v>
      </c>
      <c r="CK333" s="5">
        <v>-0.25215144010169899</v>
      </c>
      <c r="CL333" s="5">
        <v>-0.78823627871413204</v>
      </c>
      <c r="CM333" s="5">
        <v>0.86538792771477702</v>
      </c>
      <c r="CN333" s="5">
        <v>-0.700515584116845</v>
      </c>
      <c r="CO333" s="5">
        <v>0.78949326801744901</v>
      </c>
      <c r="CP333" s="5">
        <v>-6.8956270884214799E-2</v>
      </c>
      <c r="CQ333" s="5">
        <v>0.14467573139412401</v>
      </c>
      <c r="CR333" s="5">
        <v>-0.22166604819018601</v>
      </c>
      <c r="CS333" s="5">
        <v>0.33346724016672102</v>
      </c>
      <c r="CT333" s="5">
        <v>-0.60858657482860701</v>
      </c>
      <c r="CU333" s="5">
        <v>0.62036076153814201</v>
      </c>
      <c r="CV333" s="5">
        <v>-0.17088373375483401</v>
      </c>
      <c r="CW333" s="5">
        <v>0.28976998751028199</v>
      </c>
      <c r="CX333" s="5">
        <v>0.161309287716637</v>
      </c>
      <c r="CY333" s="5">
        <v>-3.8110279726544E-3</v>
      </c>
      <c r="CZ333" s="5">
        <v>-2.9444536680633799E-3</v>
      </c>
      <c r="DA333" s="5">
        <v>0.214006214572211</v>
      </c>
      <c r="DB333" s="5">
        <v>0.23949232005231999</v>
      </c>
      <c r="DC333" s="5">
        <v>-7.4570164691695598E-2</v>
      </c>
      <c r="DD333" s="5">
        <v>-0.132404634307213</v>
      </c>
      <c r="DE333" s="5">
        <v>0.20923480668442601</v>
      </c>
      <c r="DF333" s="5">
        <v>0.13788991653669999</v>
      </c>
      <c r="DG333" s="5">
        <v>-2.0435452528200601E-2</v>
      </c>
      <c r="DH333" s="5">
        <v>-0.14392278017688701</v>
      </c>
      <c r="DI333" s="5">
        <v>0.225986227692381</v>
      </c>
      <c r="DJ333" s="5">
        <v>-0.43806692872374797</v>
      </c>
      <c r="DK333" s="5">
        <v>0.41287186635447898</v>
      </c>
      <c r="DL333" s="5">
        <v>-0.121900704389166</v>
      </c>
      <c r="DM333" s="5">
        <v>0.22253374035095499</v>
      </c>
      <c r="DN333" s="5">
        <v>-0.39979667179811901</v>
      </c>
      <c r="DO333" s="5">
        <v>0.357310043369577</v>
      </c>
      <c r="DP333" s="5">
        <v>0.147472676086706</v>
      </c>
      <c r="DQ333" s="5">
        <v>-5.1869579916644599E-2</v>
      </c>
      <c r="DR333" s="5">
        <v>-0.50497952440135996</v>
      </c>
      <c r="DS333" s="5">
        <v>0.643786233464541</v>
      </c>
      <c r="DT333" s="5">
        <v>0.124820234223772</v>
      </c>
      <c r="DU333" s="5">
        <v>-6.1571997522811998E-2</v>
      </c>
      <c r="DV333" s="5">
        <v>-5.7757428089715297E-2</v>
      </c>
      <c r="DW333" s="5">
        <v>0.18711433544858699</v>
      </c>
      <c r="DX333" s="5">
        <v>-0.44053338962857302</v>
      </c>
      <c r="DY333" s="5">
        <v>0.40871221254441098</v>
      </c>
      <c r="DZ333" s="5">
        <v>-0.37864873599719601</v>
      </c>
      <c r="EA333" s="5">
        <v>0.40965041747722503</v>
      </c>
      <c r="EB333" s="5">
        <v>-9.9896214631993094E-2</v>
      </c>
      <c r="EC333" s="5">
        <v>0.217063286575753</v>
      </c>
      <c r="ED333" s="5">
        <v>-9.3873329562236194E-2</v>
      </c>
      <c r="EE333" s="5">
        <v>0.23435314119502601</v>
      </c>
      <c r="EF333" s="5">
        <v>-0.245130173334212</v>
      </c>
      <c r="EG333" s="5">
        <v>0.35662127394982002</v>
      </c>
      <c r="EH333" s="5">
        <v>-6.1309076539282602E-2</v>
      </c>
      <c r="EI333" s="5">
        <v>0.22376830107489001</v>
      </c>
      <c r="EJ333" s="5">
        <v>-8.1386116598874902E-2</v>
      </c>
      <c r="EK333" s="5">
        <v>0.26047226435908299</v>
      </c>
      <c r="EL333" s="5">
        <v>8.9181258961238297E-2</v>
      </c>
      <c r="EM333" s="5">
        <v>2.6326519772008498E-2</v>
      </c>
      <c r="EN333" s="5">
        <v>6.3586819133637201E-2</v>
      </c>
      <c r="EO333" s="5">
        <v>-4.0466833112109801E-2</v>
      </c>
      <c r="EP333" s="5">
        <v>-0.26273040393691199</v>
      </c>
      <c r="EQ333" s="5">
        <v>0.36557700555178002</v>
      </c>
      <c r="ER333" s="5">
        <v>6.4920916373733803E-2</v>
      </c>
      <c r="ES333" s="5">
        <v>0.11610603045837201</v>
      </c>
      <c r="ET333" s="5">
        <v>-1.66304418204954E-2</v>
      </c>
      <c r="EU333" s="5">
        <v>0.218828792260372</v>
      </c>
      <c r="EV333" s="5">
        <v>6.00207297921918E-2</v>
      </c>
      <c r="EW333" s="5">
        <v>0.15020053411204201</v>
      </c>
      <c r="EX333" s="5">
        <v>0.117913652699382</v>
      </c>
      <c r="EY333" s="5">
        <v>6.6162934814558802E-2</v>
      </c>
      <c r="EZ333" s="5">
        <v>4.9868190146916097E-2</v>
      </c>
      <c r="FA333" s="5">
        <v>9.7838158008255002E-2</v>
      </c>
      <c r="FB333" s="5">
        <v>-0.60205331486538405</v>
      </c>
      <c r="FC333" s="5">
        <v>0.77631933732493597</v>
      </c>
      <c r="FD333" s="5">
        <v>-6.1516524850543201E-2</v>
      </c>
      <c r="FE333" s="5">
        <v>0.18529464662207401</v>
      </c>
      <c r="FF333" s="5">
        <v>-0.66376880730691901</v>
      </c>
      <c r="FG333" s="5">
        <v>0.80955767732712602</v>
      </c>
      <c r="FH333" s="5">
        <v>0.23519779680705299</v>
      </c>
      <c r="FI333" s="5">
        <v>-0.19449226131142999</v>
      </c>
      <c r="FJ333" s="5">
        <v>4.7252504727046901E-4</v>
      </c>
      <c r="FK333" s="5">
        <v>0.20876051314396701</v>
      </c>
      <c r="FL333" s="5">
        <v>-0.20804708085341</v>
      </c>
      <c r="FM333" s="5">
        <v>0.104787739437081</v>
      </c>
      <c r="FN333" s="5">
        <v>4.0319627628844099E-2</v>
      </c>
      <c r="FO333" s="5">
        <v>5.8814749744943398E-2</v>
      </c>
      <c r="FP333" s="5">
        <v>0.232207702744059</v>
      </c>
      <c r="FQ333" s="5">
        <v>-0.12694048903292701</v>
      </c>
      <c r="FR333" s="5">
        <v>-1.53092620520206E-2</v>
      </c>
      <c r="FS333" s="5">
        <v>-0.23095765883097999</v>
      </c>
      <c r="FT333" s="5">
        <v>0.26932715277903801</v>
      </c>
      <c r="FU333" s="5">
        <v>-0.17561397723929001</v>
      </c>
      <c r="FV333" s="5">
        <v>-0.35144289248746002</v>
      </c>
      <c r="FW333" s="5">
        <v>0.512004363775309</v>
      </c>
      <c r="FX333" s="5">
        <v>3.8087972513005899E-2</v>
      </c>
      <c r="FY333" s="5">
        <v>0.100821388908388</v>
      </c>
      <c r="FZ333" s="5">
        <v>0.21725525527634601</v>
      </c>
      <c r="GA333" s="5">
        <v>-0.110371480282942</v>
      </c>
      <c r="GB333" s="5">
        <v>-0.42493187471981902</v>
      </c>
      <c r="GC333" s="5">
        <v>0.55117469105822503</v>
      </c>
      <c r="GD333" s="5">
        <v>-0.40616222551214398</v>
      </c>
      <c r="GE333" s="5">
        <v>0.363934749026805</v>
      </c>
      <c r="GF333" s="5">
        <v>5.54236724028455E-2</v>
      </c>
      <c r="GG333" s="5">
        <v>0.125783975893445</v>
      </c>
      <c r="GH333" s="5">
        <v>-0.20402592718842999</v>
      </c>
      <c r="GI333" s="5">
        <v>5.1012765342210199E-3</v>
      </c>
      <c r="GJ333" s="5">
        <v>0.11000671534819</v>
      </c>
      <c r="GK333" s="5">
        <v>3.9273020562157403E-2</v>
      </c>
      <c r="GL333" s="5">
        <v>-0.279939049500327</v>
      </c>
      <c r="GM333" s="5">
        <v>0.38783858276574101</v>
      </c>
      <c r="GN333" s="5">
        <v>-0.34067597250748899</v>
      </c>
      <c r="GO333" s="5">
        <v>0.46133322783224801</v>
      </c>
      <c r="GP333" s="5">
        <v>0.191104622406576</v>
      </c>
      <c r="GQ333" s="5">
        <v>-2.36716302011513E-2</v>
      </c>
      <c r="GR333" s="5">
        <v>7.4948583953676998E-2</v>
      </c>
      <c r="GS333" s="5">
        <v>6.98652829923994E-2</v>
      </c>
      <c r="GT333" s="5">
        <v>8.2394159287172003E-2</v>
      </c>
      <c r="GU333" s="5">
        <v>-7.2373473460454904E-2</v>
      </c>
      <c r="GV333" s="5">
        <v>-0.13088785332911701</v>
      </c>
      <c r="GW333" s="5">
        <v>0.27595978328481302</v>
      </c>
      <c r="GX333" s="5">
        <v>0.198656643059757</v>
      </c>
      <c r="GY333" s="5">
        <v>-6.43120803780243E-2</v>
      </c>
      <c r="GZ333" s="5">
        <v>-0.77256194422814195</v>
      </c>
      <c r="HA333" s="5">
        <v>0.80748031517073904</v>
      </c>
      <c r="HB333" s="5">
        <v>4.3683871157691602E-2</v>
      </c>
      <c r="HC333" s="5">
        <v>0.17142674637109201</v>
      </c>
      <c r="HD333" s="5">
        <v>-3.5626212540676397E-2</v>
      </c>
      <c r="HE333" s="5">
        <v>-2.22229308625243E-2</v>
      </c>
      <c r="HF333" s="5">
        <v>-0.52139357052019097</v>
      </c>
      <c r="HG333" s="5">
        <v>0.50809338592500597</v>
      </c>
      <c r="HH333" s="5">
        <v>-0.64214331658985302</v>
      </c>
      <c r="HI333" s="5">
        <v>0.73122299149522896</v>
      </c>
      <c r="HJ333" s="5">
        <v>-0.48916656162716698</v>
      </c>
      <c r="HK333" s="5">
        <v>0.46764772291231199</v>
      </c>
      <c r="HL333" s="5">
        <v>0.107042210148692</v>
      </c>
      <c r="HM333" s="5">
        <v>-1.4261796740222001E-3</v>
      </c>
      <c r="HN333" s="5">
        <v>-0.55083366138437695</v>
      </c>
      <c r="HO333" s="5">
        <v>0.67035575243906398</v>
      </c>
      <c r="HP333" s="5">
        <v>9.2670532913188705E-2</v>
      </c>
      <c r="HQ333" s="5">
        <v>9.6631645608412794E-2</v>
      </c>
      <c r="HR333" s="5">
        <v>0.13425623507793399</v>
      </c>
      <c r="HS333" s="5">
        <v>2.7074079113988299E-2</v>
      </c>
      <c r="HT333" s="5">
        <v>-0.57763662498532398</v>
      </c>
      <c r="HU333" s="5">
        <v>0.70116769658093403</v>
      </c>
      <c r="HV333" s="5">
        <v>1.39526230174343E-2</v>
      </c>
      <c r="HW333" s="5">
        <v>0.109896599410562</v>
      </c>
      <c r="HX333" s="5">
        <v>0.117820353373483</v>
      </c>
      <c r="HY333" s="5">
        <v>4.1681941440367597E-2</v>
      </c>
      <c r="HZ333" s="5">
        <v>-0.72753035074350003</v>
      </c>
      <c r="IA333" s="5">
        <v>0.840937439177599</v>
      </c>
      <c r="IB333" s="5">
        <v>-0.33863047340356001</v>
      </c>
      <c r="IC333" s="5">
        <v>0.254309940480825</v>
      </c>
      <c r="ID333" s="5">
        <v>-0.124059858944258</v>
      </c>
      <c r="IE333" s="5">
        <v>0.43450725465866502</v>
      </c>
      <c r="IF333" s="5">
        <v>8.8820231036946001E-2</v>
      </c>
      <c r="IG333" s="5">
        <v>3.8974123085939498E-2</v>
      </c>
      <c r="IH333" s="5">
        <v>-0.21244055506220699</v>
      </c>
      <c r="II333" s="5">
        <v>0.33058093645509701</v>
      </c>
      <c r="IJ333" s="5">
        <v>0.18877779414863199</v>
      </c>
      <c r="IK333" s="5">
        <v>-0.147359269805417</v>
      </c>
      <c r="IL333" s="5">
        <v>8.0367002532105603E-2</v>
      </c>
      <c r="IM333" s="5">
        <v>0.13561576523067301</v>
      </c>
      <c r="IN333" s="5">
        <v>0.18211386330340801</v>
      </c>
      <c r="IO333" s="5">
        <v>-4.5954483146253E-2</v>
      </c>
      <c r="IP333" s="5">
        <v>-0.18714147622608501</v>
      </c>
      <c r="IQ333" s="5">
        <v>0.40945199467092802</v>
      </c>
      <c r="IR333" s="5">
        <v>0.142236874957093</v>
      </c>
      <c r="IS333" s="5">
        <v>-1.6585012287390899E-2</v>
      </c>
      <c r="IT333" s="5">
        <v>8.8281064970511906E-3</v>
      </c>
      <c r="IU333" s="5">
        <v>0.124668296529863</v>
      </c>
      <c r="IV333" s="5">
        <v>-0.196360865897381</v>
      </c>
      <c r="IW333" s="5">
        <v>0.29014599621667903</v>
      </c>
      <c r="IX333" s="5">
        <v>-1.1651788124929899E-2</v>
      </c>
      <c r="IY333" s="5">
        <v>0.14716920393404301</v>
      </c>
      <c r="IZ333" s="5">
        <v>-0.63334213149439</v>
      </c>
      <c r="JA333" s="5">
        <v>0.69709774497696297</v>
      </c>
      <c r="JB333" s="5">
        <v>-0.49342308340164598</v>
      </c>
      <c r="JC333" s="5">
        <v>0.47247998665892599</v>
      </c>
      <c r="JD333" s="5">
        <v>-0.122389230212643</v>
      </c>
      <c r="JE333" s="5">
        <v>0.196752250633453</v>
      </c>
      <c r="JF333" s="5">
        <v>-6.6450477608573894E-2</v>
      </c>
      <c r="JG333" s="5">
        <v>0.141167360986064</v>
      </c>
      <c r="JH333" s="5">
        <v>-0.12967332542947099</v>
      </c>
      <c r="JI333" s="5">
        <v>0.118128321942058</v>
      </c>
      <c r="JJ333" s="5">
        <v>-7.8892306084842895E-3</v>
      </c>
      <c r="JK333" s="5">
        <v>0.207893024944207</v>
      </c>
      <c r="JL333" s="5">
        <v>8.7579957891061096E-3</v>
      </c>
      <c r="JM333" s="5">
        <v>0.17346357795470899</v>
      </c>
      <c r="JN333" s="5">
        <v>-3.7824304751099297E-2</v>
      </c>
      <c r="JO333" s="5">
        <v>0.20237262682582599</v>
      </c>
      <c r="JP333" s="5">
        <v>0.122457615377201</v>
      </c>
      <c r="JQ333" s="5">
        <v>7.5772851931284996E-2</v>
      </c>
      <c r="JR333" s="5">
        <v>0.194623732475938</v>
      </c>
      <c r="JS333" s="5">
        <v>-4.4600481233910701E-2</v>
      </c>
      <c r="JT333" s="5">
        <v>0.17107074963624799</v>
      </c>
      <c r="JU333" s="5">
        <v>-0.109665037953608</v>
      </c>
      <c r="JV333" s="5">
        <v>0.17993976233484801</v>
      </c>
      <c r="JW333" s="5">
        <v>-6.9766878165530496E-2</v>
      </c>
      <c r="JX333" s="5">
        <v>-0.69710899590402098</v>
      </c>
      <c r="JY333" s="5">
        <v>0.74418511390331699</v>
      </c>
      <c r="JZ333" s="5">
        <v>-0.19820671748007301</v>
      </c>
      <c r="KA333" s="5">
        <v>0.32572393590103299</v>
      </c>
      <c r="KB333" s="5">
        <v>-0.47412172318740903</v>
      </c>
      <c r="KC333" s="5">
        <v>0.46987670975764001</v>
      </c>
      <c r="KD333" s="5">
        <v>-8.9101844938855701E-4</v>
      </c>
      <c r="KE333" s="5">
        <v>7.4822583842062404E-2</v>
      </c>
      <c r="KF333" s="5">
        <v>0.15772093149160901</v>
      </c>
      <c r="KG333" s="5">
        <v>-8.8041134285294198E-2</v>
      </c>
      <c r="KH333" s="5">
        <v>0.25385675252871298</v>
      </c>
      <c r="KI333" s="5">
        <v>-0.16644330145480599</v>
      </c>
      <c r="KJ333" s="5">
        <v>0.19667389763945001</v>
      </c>
      <c r="KK333" s="5">
        <v>9.6099537533269105E-3</v>
      </c>
      <c r="KL333" s="5">
        <v>9.6375643879400993E-2</v>
      </c>
      <c r="KM333" s="5">
        <v>-8.1969401741304904E-2</v>
      </c>
      <c r="KN333" s="5">
        <v>-0.66178689352557996</v>
      </c>
      <c r="KO333" s="5">
        <v>0.78663807148110998</v>
      </c>
      <c r="KP333" s="5">
        <v>-0.34907574237853201</v>
      </c>
      <c r="KQ333" s="5">
        <v>0.249722214632042</v>
      </c>
      <c r="KR333" s="5">
        <v>-0.107229346248959</v>
      </c>
      <c r="KS333" s="5">
        <v>0.23042465768339099</v>
      </c>
      <c r="KT333" s="5">
        <v>0.18631922954859401</v>
      </c>
      <c r="KU333" s="5">
        <v>-3.8040166885830999E-2</v>
      </c>
      <c r="KV333" s="5">
        <v>-0.10494901377254499</v>
      </c>
      <c r="KW333" s="5">
        <v>0.23623916198105299</v>
      </c>
      <c r="KX333" s="5">
        <v>-6.2943060424667893E-2</v>
      </c>
      <c r="KY333" s="5">
        <v>0.21474847684654799</v>
      </c>
      <c r="KZ333" s="5">
        <v>-1.7176247994310102E-2</v>
      </c>
      <c r="LA333" s="5">
        <v>0.109283248416002</v>
      </c>
      <c r="LB333" s="5">
        <v>-2.4926184850460099E-2</v>
      </c>
      <c r="LC333" s="5">
        <v>0.17872025995395699</v>
      </c>
      <c r="LD333" s="5">
        <v>6.2725577243904804E-2</v>
      </c>
      <c r="LE333" s="5">
        <v>0.101488517567147</v>
      </c>
      <c r="LF333" s="5">
        <v>-0.58486004770720201</v>
      </c>
      <c r="LG333" s="5">
        <v>0.78644589535459397</v>
      </c>
      <c r="LH333" s="5">
        <v>1.3501567089459701E-2</v>
      </c>
      <c r="LI333" s="5">
        <v>0.15639479518678401</v>
      </c>
      <c r="LJ333" s="5">
        <v>-0.60670034862202005</v>
      </c>
      <c r="LK333" s="5">
        <v>0.74397068552058798</v>
      </c>
      <c r="LL333" s="5">
        <v>-0.15737514713553999</v>
      </c>
      <c r="LM333" s="5">
        <v>0.25857878602948198</v>
      </c>
      <c r="LN333" s="5">
        <v>-5.6996903190929798E-3</v>
      </c>
      <c r="LO333" s="5">
        <v>9.70054972080132E-2</v>
      </c>
      <c r="LP333" s="5">
        <v>8.4529068638974206E-2</v>
      </c>
      <c r="LQ333" s="5">
        <v>0.107573067326275</v>
      </c>
      <c r="LR333" s="5">
        <v>-0.78310132976896696</v>
      </c>
      <c r="LS333" s="5">
        <v>0.85453216085013295</v>
      </c>
      <c r="LT333" s="5">
        <v>-0.87755943309296702</v>
      </c>
      <c r="LU333" s="5">
        <v>1</v>
      </c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</row>
    <row r="334" spans="1:389" x14ac:dyDescent="0.45">
      <c r="A334" s="4" t="str">
        <f ca="1">"SWE / beta1dist in "&amp;CELL("address",'damages-1990'!$J$168)</f>
        <v>SWE / beta1dist in '[BHM betas v3pd.xlsx]damages-1990'!$J$168</v>
      </c>
      <c r="B334" s="6">
        <v>0.18060217200478901</v>
      </c>
      <c r="C334" s="5">
        <v>-0.27619239886108998</v>
      </c>
      <c r="D334" s="5">
        <v>-1.6504072357725299E-2</v>
      </c>
      <c r="E334" s="5">
        <v>-0.24567082782667299</v>
      </c>
      <c r="F334" s="5">
        <v>0.28302930039358598</v>
      </c>
      <c r="G334" s="5">
        <v>-0.32772757276303099</v>
      </c>
      <c r="H334" s="5">
        <v>0.54858266652027199</v>
      </c>
      <c r="I334" s="5">
        <v>-0.394685628928577</v>
      </c>
      <c r="J334" s="5">
        <v>-0.115325209910016</v>
      </c>
      <c r="K334" s="5">
        <v>-0.16962671618</v>
      </c>
      <c r="L334" s="5">
        <v>1.8775349746496001E-2</v>
      </c>
      <c r="M334" s="5">
        <v>-6.5437719205508504E-2</v>
      </c>
      <c r="N334" s="5">
        <v>0.12146746152132699</v>
      </c>
      <c r="O334" s="5">
        <v>8.7123939414599602E-2</v>
      </c>
      <c r="P334" s="5">
        <v>-1.01976599956978E-2</v>
      </c>
      <c r="Q334" s="5">
        <v>-0.17224271617137299</v>
      </c>
      <c r="R334" s="5">
        <v>-0.168150964891013</v>
      </c>
      <c r="S334" s="5">
        <v>-0.109160369190186</v>
      </c>
      <c r="T334" s="5">
        <v>0.59046435462443103</v>
      </c>
      <c r="U334" s="5">
        <v>-0.49693472503958203</v>
      </c>
      <c r="V334" s="5">
        <v>0.17071193206097299</v>
      </c>
      <c r="W334" s="5">
        <v>-0.23252321144646401</v>
      </c>
      <c r="X334" s="5">
        <v>6.2612624067733703E-3</v>
      </c>
      <c r="Y334" s="5">
        <v>-0.23319878070969</v>
      </c>
      <c r="Z334" s="5">
        <v>0.56797763474236196</v>
      </c>
      <c r="AA334" s="5">
        <v>-0.54292667958310004</v>
      </c>
      <c r="AB334" s="5">
        <v>3.6798388548253298E-2</v>
      </c>
      <c r="AC334" s="5">
        <v>-0.204056795233924</v>
      </c>
      <c r="AD334" s="5">
        <v>0.14338508067106301</v>
      </c>
      <c r="AE334" s="5">
        <v>-0.29967366678269702</v>
      </c>
      <c r="AF334" s="5">
        <v>-0.26072879625817402</v>
      </c>
      <c r="AG334" s="5">
        <v>4.4674616226520704E-3</v>
      </c>
      <c r="AH334" s="5">
        <v>0.33307918312187501</v>
      </c>
      <c r="AI334" s="5">
        <v>-0.347476919747288</v>
      </c>
      <c r="AJ334" s="5">
        <v>-0.24045762621456199</v>
      </c>
      <c r="AK334" s="5">
        <v>-8.7692057999442199E-2</v>
      </c>
      <c r="AL334" s="5">
        <v>-0.34873770286734301</v>
      </c>
      <c r="AM334" s="5">
        <v>0.21107440879254599</v>
      </c>
      <c r="AN334" s="5">
        <v>0.44831392832560601</v>
      </c>
      <c r="AO334" s="5">
        <v>-0.400990364860911</v>
      </c>
      <c r="AP334" s="5">
        <v>0.72855178785663299</v>
      </c>
      <c r="AQ334" s="5">
        <v>-0.67863800417134901</v>
      </c>
      <c r="AR334" s="5">
        <v>-0.262356077255603</v>
      </c>
      <c r="AS334" s="5">
        <v>4.3949512633553602E-2</v>
      </c>
      <c r="AT334" s="5">
        <v>-0.48264071663730002</v>
      </c>
      <c r="AU334" s="5">
        <v>0.35352923996229901</v>
      </c>
      <c r="AV334" s="5">
        <v>-0.32179020929984797</v>
      </c>
      <c r="AW334" s="5">
        <v>4.3004656908681702E-2</v>
      </c>
      <c r="AX334" s="5">
        <v>-0.32826681587559098</v>
      </c>
      <c r="AY334" s="5">
        <v>3.0283803605961699E-2</v>
      </c>
      <c r="AZ334" s="5">
        <v>-7.5931153292425904E-2</v>
      </c>
      <c r="BA334" s="5">
        <v>-9.5830055561146293E-2</v>
      </c>
      <c r="BB334" s="5">
        <v>-7.7650464132211702E-2</v>
      </c>
      <c r="BC334" s="5">
        <v>-0.24101208420256101</v>
      </c>
      <c r="BD334" s="5">
        <v>0.37761603254132198</v>
      </c>
      <c r="BE334" s="5">
        <v>-0.47259973023775997</v>
      </c>
      <c r="BF334" s="5">
        <v>-6.9604984374103299E-2</v>
      </c>
      <c r="BG334" s="5">
        <v>-0.18178371957562001</v>
      </c>
      <c r="BH334" s="5">
        <v>-5.3284899447690999E-2</v>
      </c>
      <c r="BI334" s="5">
        <v>-0.16693305036463299</v>
      </c>
      <c r="BJ334" s="5">
        <v>0.54409970004615904</v>
      </c>
      <c r="BK334" s="5">
        <v>-0.25285466657820999</v>
      </c>
      <c r="BL334" s="5">
        <v>0.55247574407637001</v>
      </c>
      <c r="BM334" s="5">
        <v>-0.414674554526268</v>
      </c>
      <c r="BN334" s="5">
        <v>0.35362031850125902</v>
      </c>
      <c r="BO334" s="5">
        <v>-0.20279579380329199</v>
      </c>
      <c r="BP334" s="5">
        <v>0.54857592377020703</v>
      </c>
      <c r="BQ334" s="5">
        <v>-0.48338490304294701</v>
      </c>
      <c r="BR334" s="5">
        <v>0.16459229924486299</v>
      </c>
      <c r="BS334" s="5">
        <v>-0.30054121345945201</v>
      </c>
      <c r="BT334" s="5">
        <v>-6.4916225361711197E-2</v>
      </c>
      <c r="BU334" s="5">
        <v>-0.199068673829912</v>
      </c>
      <c r="BV334" s="5">
        <v>-8.5371228504563194E-3</v>
      </c>
      <c r="BW334" s="5">
        <v>-0.24321886013423299</v>
      </c>
      <c r="BX334" s="5">
        <v>1.46020009828896E-2</v>
      </c>
      <c r="BY334" s="5">
        <v>-0.22966909116956599</v>
      </c>
      <c r="BZ334" s="5">
        <v>-0.16621594303953899</v>
      </c>
      <c r="CA334" s="5">
        <v>-7.0485483028671997E-2</v>
      </c>
      <c r="CB334" s="5">
        <v>-0.24411493538655599</v>
      </c>
      <c r="CC334" s="5">
        <v>3.5673611989284502E-2</v>
      </c>
      <c r="CD334" s="5">
        <v>-0.132268319364959</v>
      </c>
      <c r="CE334" s="5">
        <v>-1.8748145240464101E-2</v>
      </c>
      <c r="CF334" s="5">
        <v>-0.205286660863226</v>
      </c>
      <c r="CG334" s="5">
        <v>2.8597905867824399E-2</v>
      </c>
      <c r="CH334" s="5">
        <v>-0.31813349263159502</v>
      </c>
      <c r="CI334" s="5">
        <v>0.20005753315424801</v>
      </c>
      <c r="CJ334" s="5">
        <v>-7.9254150636053899E-2</v>
      </c>
      <c r="CK334" s="5">
        <v>-8.5286201314175095E-2</v>
      </c>
      <c r="CL334" s="5">
        <v>0.61806061958233505</v>
      </c>
      <c r="CM334" s="5">
        <v>-0.56860385105576094</v>
      </c>
      <c r="CN334" s="5">
        <v>0.65714660804085601</v>
      </c>
      <c r="CO334" s="5">
        <v>-0.62974993985445005</v>
      </c>
      <c r="CP334" s="5">
        <v>4.9939036780809296E-4</v>
      </c>
      <c r="CQ334" s="5">
        <v>-0.13228704886778</v>
      </c>
      <c r="CR334" s="5">
        <v>-3.88305105047453E-2</v>
      </c>
      <c r="CS334" s="5">
        <v>-0.124659456030802</v>
      </c>
      <c r="CT334" s="5">
        <v>0.76887352469558201</v>
      </c>
      <c r="CU334" s="5">
        <v>-0.71939286784156797</v>
      </c>
      <c r="CV334" s="5">
        <v>9.2913316160049594E-2</v>
      </c>
      <c r="CW334" s="5">
        <v>-0.27434771143851999</v>
      </c>
      <c r="CX334" s="5">
        <v>-9.4087056085604304E-2</v>
      </c>
      <c r="CY334" s="5">
        <v>-0.191716128746035</v>
      </c>
      <c r="CZ334" s="5">
        <v>-0.144977413218977</v>
      </c>
      <c r="DA334" s="5">
        <v>-8.9690861205809894E-2</v>
      </c>
      <c r="DB334" s="5">
        <v>-8.6033887928189598E-2</v>
      </c>
      <c r="DC334" s="5">
        <v>-0.28475959796702399</v>
      </c>
      <c r="DD334" s="5">
        <v>3.98776769381173E-2</v>
      </c>
      <c r="DE334" s="5">
        <v>-0.174799799327023</v>
      </c>
      <c r="DF334" s="5">
        <v>-0.34846429007194901</v>
      </c>
      <c r="DG334" s="5">
        <v>0.15676427311368599</v>
      </c>
      <c r="DH334" s="5">
        <v>0.160515931028646</v>
      </c>
      <c r="DI334" s="5">
        <v>-0.28433018916834302</v>
      </c>
      <c r="DJ334" s="5">
        <v>0.83098720906484502</v>
      </c>
      <c r="DK334" s="5">
        <v>-0.76936313782700105</v>
      </c>
      <c r="DL334" s="5">
        <v>-3.26593682095647E-2</v>
      </c>
      <c r="DM334" s="5">
        <v>-0.14566445099530201</v>
      </c>
      <c r="DN334" s="5">
        <v>0.86193661278431</v>
      </c>
      <c r="DO334" s="5">
        <v>-0.76763707615514698</v>
      </c>
      <c r="DP334" s="5">
        <v>-0.17453884257956201</v>
      </c>
      <c r="DQ334" s="5">
        <v>6.0869286891113601E-2</v>
      </c>
      <c r="DR334" s="5">
        <v>0.44521880755530802</v>
      </c>
      <c r="DS334" s="5">
        <v>-0.48034437810846198</v>
      </c>
      <c r="DT334" s="5">
        <v>-0.23759313393708101</v>
      </c>
      <c r="DU334" s="5">
        <v>0.11147045432278201</v>
      </c>
      <c r="DV334" s="5">
        <v>7.9016058309836004E-2</v>
      </c>
      <c r="DW334" s="5">
        <v>-0.24283874298085301</v>
      </c>
      <c r="DX334" s="5">
        <v>0.61142319082207897</v>
      </c>
      <c r="DY334" s="5">
        <v>-0.52081112832198095</v>
      </c>
      <c r="DZ334" s="5">
        <v>0.21699333348853</v>
      </c>
      <c r="EA334" s="5">
        <v>-5.5741260298820997E-2</v>
      </c>
      <c r="EB334" s="5">
        <v>6.1446911636926102E-2</v>
      </c>
      <c r="EC334" s="5">
        <v>-0.24588535482045701</v>
      </c>
      <c r="ED334" s="5">
        <v>0.120195003784413</v>
      </c>
      <c r="EE334" s="5">
        <v>-0.313480833321649</v>
      </c>
      <c r="EF334" s="5">
        <v>-3.45190926429549E-3</v>
      </c>
      <c r="EG334" s="5">
        <v>-0.15724379911341901</v>
      </c>
      <c r="EH334" s="5">
        <v>-8.8828094997956394E-2</v>
      </c>
      <c r="EI334" s="5">
        <v>-0.15293714090407201</v>
      </c>
      <c r="EJ334" s="5">
        <v>-3.0622519301897001E-2</v>
      </c>
      <c r="EK334" s="5">
        <v>-0.21397277251750299</v>
      </c>
      <c r="EL334" s="5">
        <v>-0.20666422726905201</v>
      </c>
      <c r="EM334" s="5">
        <v>1.7293951645728101E-2</v>
      </c>
      <c r="EN334" s="5">
        <v>3.9340795669996403E-2</v>
      </c>
      <c r="EO334" s="5">
        <v>-0.103955073485901</v>
      </c>
      <c r="EP334" s="5">
        <v>-9.6539598693275802E-2</v>
      </c>
      <c r="EQ334" s="5">
        <v>-9.7353145497450597E-2</v>
      </c>
      <c r="ER334" s="5">
        <v>-0.22230281675778699</v>
      </c>
      <c r="ES334" s="5">
        <v>-1.05113101176195E-2</v>
      </c>
      <c r="ET334" s="5">
        <v>-0.25844981456492999</v>
      </c>
      <c r="EU334" s="5">
        <v>1.67066229031783E-2</v>
      </c>
      <c r="EV334" s="5">
        <v>-0.246364980772668</v>
      </c>
      <c r="EW334" s="5">
        <v>-5.4703891116950197E-2</v>
      </c>
      <c r="EX334" s="5">
        <v>-0.39230601444122198</v>
      </c>
      <c r="EY334" s="5">
        <v>0.139588954104515</v>
      </c>
      <c r="EZ334" s="5">
        <v>-0.15822184285169499</v>
      </c>
      <c r="FA334" s="5">
        <v>-9.5657603586057696E-2</v>
      </c>
      <c r="FB334" s="5">
        <v>0.3449900692083</v>
      </c>
      <c r="FC334" s="5">
        <v>-0.36306719044971503</v>
      </c>
      <c r="FD334" s="5">
        <v>-2.0199021247357202E-2</v>
      </c>
      <c r="FE334" s="5">
        <v>-0.17316993446898399</v>
      </c>
      <c r="FF334" s="5">
        <v>0.41976838770014502</v>
      </c>
      <c r="FG334" s="5">
        <v>-0.41839832694759099</v>
      </c>
      <c r="FH334" s="5">
        <v>-0.33954043412377899</v>
      </c>
      <c r="FI334" s="5">
        <v>0.23480532532685999</v>
      </c>
      <c r="FJ334" s="5">
        <v>-0.13602738239699999</v>
      </c>
      <c r="FK334" s="5">
        <v>-0.139059880857861</v>
      </c>
      <c r="FL334" s="5">
        <v>0.40500235274146101</v>
      </c>
      <c r="FM334" s="5">
        <v>-0.26004673759214503</v>
      </c>
      <c r="FN334" s="5">
        <v>0.128040391810024</v>
      </c>
      <c r="FO334" s="5">
        <v>-0.28731857542091199</v>
      </c>
      <c r="FP334" s="5">
        <v>-4.1216107256747403E-2</v>
      </c>
      <c r="FQ334" s="5">
        <v>-0.20850834988954001</v>
      </c>
      <c r="FR334" s="5">
        <v>0.22633684683496799</v>
      </c>
      <c r="FS334" s="5">
        <v>3.7286211691830301E-2</v>
      </c>
      <c r="FT334" s="5">
        <v>-8.1709492556871405E-2</v>
      </c>
      <c r="FU334" s="5">
        <v>-0.221212103092019</v>
      </c>
      <c r="FV334" s="5">
        <v>0.222888545567376</v>
      </c>
      <c r="FW334" s="5">
        <v>-0.29512025779892298</v>
      </c>
      <c r="FX334" s="5">
        <v>-0.149297273394664</v>
      </c>
      <c r="FY334" s="5">
        <v>-5.4237072112267401E-2</v>
      </c>
      <c r="FZ334" s="5">
        <v>-2.3671749480402099E-2</v>
      </c>
      <c r="GA334" s="5">
        <v>-0.296570314739524</v>
      </c>
      <c r="GB334" s="5">
        <v>0.38817527921448097</v>
      </c>
      <c r="GC334" s="5">
        <v>-0.43539024055792702</v>
      </c>
      <c r="GD334" s="5">
        <v>0.48880293906251998</v>
      </c>
      <c r="GE334" s="5">
        <v>-0.40135040752640699</v>
      </c>
      <c r="GF334" s="5">
        <v>-0.21944790977280201</v>
      </c>
      <c r="GG334" s="5">
        <v>-2.3390528990122901E-2</v>
      </c>
      <c r="GH334" s="5">
        <v>0.24748518735676001</v>
      </c>
      <c r="GI334" s="5">
        <v>1.8032024516412601E-2</v>
      </c>
      <c r="GJ334" s="5">
        <v>-0.32951335735791298</v>
      </c>
      <c r="GK334" s="5">
        <v>9.5045926392229196E-2</v>
      </c>
      <c r="GL334" s="5">
        <v>7.9140948165690894E-2</v>
      </c>
      <c r="GM334" s="5">
        <v>-0.25156578016213799</v>
      </c>
      <c r="GN334" s="5">
        <v>0.37158116938636498</v>
      </c>
      <c r="GO334" s="5">
        <v>-0.48514738556589199</v>
      </c>
      <c r="GP334" s="5">
        <v>-0.161655844314572</v>
      </c>
      <c r="GQ334" s="5">
        <v>-0.13909970684772199</v>
      </c>
      <c r="GR334" s="5">
        <v>-0.200599115416038</v>
      </c>
      <c r="GS334" s="5">
        <v>-4.8067692363229497E-2</v>
      </c>
      <c r="GT334" s="5">
        <v>8.4380646456964206E-2</v>
      </c>
      <c r="GU334" s="5">
        <v>-0.210892233416791</v>
      </c>
      <c r="GV334" s="5">
        <v>8.7181616533335698E-2</v>
      </c>
      <c r="GW334" s="5">
        <v>-0.24039310572612199</v>
      </c>
      <c r="GX334" s="5">
        <v>-4.4112986151045898E-2</v>
      </c>
      <c r="GY334" s="5">
        <v>-0.23218342074937601</v>
      </c>
      <c r="GZ334" s="5">
        <v>0.57273025997721405</v>
      </c>
      <c r="HA334" s="5">
        <v>-0.448884317079846</v>
      </c>
      <c r="HB334" s="5">
        <v>-0.34215428861413899</v>
      </c>
      <c r="HC334" s="5">
        <v>0.102924715230353</v>
      </c>
      <c r="HD334" s="5">
        <v>0.243716444122796</v>
      </c>
      <c r="HE334" s="5">
        <v>-0.26196588195460702</v>
      </c>
      <c r="HF334" s="5">
        <v>0.79233638904919701</v>
      </c>
      <c r="HG334" s="5">
        <v>-0.74130704379793799</v>
      </c>
      <c r="HH334" s="5">
        <v>0.59677048242641395</v>
      </c>
      <c r="HI334" s="5">
        <v>-0.559041131456677</v>
      </c>
      <c r="HJ334" s="5">
        <v>0.81365363497780596</v>
      </c>
      <c r="HK334" s="5">
        <v>-0.74992975824043895</v>
      </c>
      <c r="HL334" s="5">
        <v>-0.148998321047009</v>
      </c>
      <c r="HM334" s="5">
        <v>-2.5656226999431899E-2</v>
      </c>
      <c r="HN334" s="5">
        <v>0.43236648259454902</v>
      </c>
      <c r="HO334" s="5">
        <v>-0.44824137601089697</v>
      </c>
      <c r="HP334" s="5">
        <v>-0.149032579877451</v>
      </c>
      <c r="HQ334" s="5">
        <v>-0.13916143178576601</v>
      </c>
      <c r="HR334" s="5">
        <v>-0.17781003606547999</v>
      </c>
      <c r="HS334" s="5">
        <v>-4.8602330995597201E-2</v>
      </c>
      <c r="HT334" s="5">
        <v>0.38073169092468701</v>
      </c>
      <c r="HU334" s="5">
        <v>-0.37459995174560401</v>
      </c>
      <c r="HV334" s="5">
        <v>2.2566535195127E-2</v>
      </c>
      <c r="HW334" s="5">
        <v>-0.24888125579388601</v>
      </c>
      <c r="HX334" s="5">
        <v>-0.184284521357683</v>
      </c>
      <c r="HY334" s="5">
        <v>-5.7747682822006902E-2</v>
      </c>
      <c r="HZ334" s="5">
        <v>0.46371045486872797</v>
      </c>
      <c r="IA334" s="5">
        <v>-0.38518353133048</v>
      </c>
      <c r="IB334" s="5">
        <v>0.53696081931682305</v>
      </c>
      <c r="IC334" s="5">
        <v>-0.40500008628920098</v>
      </c>
      <c r="ID334" s="5">
        <v>-8.0283180448046908E-3</v>
      </c>
      <c r="IE334" s="5">
        <v>-0.37649963802464798</v>
      </c>
      <c r="IF334" s="5">
        <v>-0.18320123704389901</v>
      </c>
      <c r="IG334" s="5">
        <v>-5.6513645751906802E-2</v>
      </c>
      <c r="IH334" s="5">
        <v>-8.1821126864534605E-2</v>
      </c>
      <c r="II334" s="5">
        <v>-9.7109624485538004E-2</v>
      </c>
      <c r="IJ334" s="5">
        <v>-0.194823291950216</v>
      </c>
      <c r="IK334" s="5">
        <v>7.6853155548926605E-2</v>
      </c>
      <c r="IL334" s="5">
        <v>-6.8009266763342499E-2</v>
      </c>
      <c r="IM334" s="5">
        <v>-0.26186913573887599</v>
      </c>
      <c r="IN334" s="5">
        <v>-0.23530753580403699</v>
      </c>
      <c r="IO334" s="5">
        <v>-7.7042510974834697E-3</v>
      </c>
      <c r="IP334" s="5">
        <v>-2.8145838157346802E-2</v>
      </c>
      <c r="IQ334" s="5">
        <v>-0.23690837535468101</v>
      </c>
      <c r="IR334" s="5">
        <v>-0.23393363421972699</v>
      </c>
      <c r="IS334" s="5">
        <v>6.4053302680716698E-2</v>
      </c>
      <c r="IT334" s="5">
        <v>4.1045853902284803E-2</v>
      </c>
      <c r="IU334" s="5">
        <v>-0.29862200951997198</v>
      </c>
      <c r="IV334" s="5">
        <v>0.21046239414857801</v>
      </c>
      <c r="IW334" s="5">
        <v>-0.39139236298417901</v>
      </c>
      <c r="IX334" s="5">
        <v>-0.18149965919962299</v>
      </c>
      <c r="IY334" s="5">
        <v>-5.8189584204750802E-2</v>
      </c>
      <c r="IZ334" s="5">
        <v>0.59965677564819597</v>
      </c>
      <c r="JA334" s="5">
        <v>-0.56888460980925804</v>
      </c>
      <c r="JB334" s="5">
        <v>0.88680474501351902</v>
      </c>
      <c r="JC334" s="5">
        <v>-0.80719338165488597</v>
      </c>
      <c r="JD334" s="5">
        <v>0.200561600421515</v>
      </c>
      <c r="JE334" s="5">
        <v>-0.33832288796417198</v>
      </c>
      <c r="JF334" s="5">
        <v>-2.3662722817811399E-2</v>
      </c>
      <c r="JG334" s="5">
        <v>-0.115480181076149</v>
      </c>
      <c r="JH334" s="5">
        <v>0.248026263553937</v>
      </c>
      <c r="JI334" s="5">
        <v>-0.16157623419688699</v>
      </c>
      <c r="JJ334" s="5">
        <v>-4.5289123253732501E-2</v>
      </c>
      <c r="JK334" s="5">
        <v>-0.26091573408198498</v>
      </c>
      <c r="JL334" s="5">
        <v>-3.6392125493287797E-2</v>
      </c>
      <c r="JM334" s="5">
        <v>-0.21613682081220401</v>
      </c>
      <c r="JN334" s="5">
        <v>-9.7525901002378401E-2</v>
      </c>
      <c r="JO334" s="5">
        <v>-0.11448192565577101</v>
      </c>
      <c r="JP334" s="5">
        <v>-0.25115990543848599</v>
      </c>
      <c r="JQ334" s="5">
        <v>1.4517608718681701E-2</v>
      </c>
      <c r="JR334" s="5">
        <v>-0.222186820533331</v>
      </c>
      <c r="JS334" s="5">
        <v>-9.3777604935453895E-2</v>
      </c>
      <c r="JT334" s="5">
        <v>-0.296280502337186</v>
      </c>
      <c r="JU334" s="5">
        <v>0.12075702326569999</v>
      </c>
      <c r="JV334" s="5">
        <v>-0.33645052704419498</v>
      </c>
      <c r="JW334" s="5">
        <v>0.16269937853972</v>
      </c>
      <c r="JX334" s="5">
        <v>0.697591650221282</v>
      </c>
      <c r="JY334" s="5">
        <v>-0.66838451616654104</v>
      </c>
      <c r="JZ334" s="5">
        <v>5.3726219190673302E-2</v>
      </c>
      <c r="KA334" s="5">
        <v>-0.22910213502438001</v>
      </c>
      <c r="KB334" s="5">
        <v>0.69246040791936903</v>
      </c>
      <c r="KC334" s="5">
        <v>-0.62117758790903199</v>
      </c>
      <c r="KD334" s="5">
        <v>-6.5583513502681198E-2</v>
      </c>
      <c r="KE334" s="5">
        <v>-4.1342825752884199E-2</v>
      </c>
      <c r="KF334" s="5">
        <v>-0.17418967391026</v>
      </c>
      <c r="KG334" s="5">
        <v>5.3416134240106203E-2</v>
      </c>
      <c r="KH334" s="5">
        <v>-6.2656398135800498E-2</v>
      </c>
      <c r="KI334" s="5">
        <v>-0.21837010497780199</v>
      </c>
      <c r="KJ334" s="5">
        <v>-0.222271925156035</v>
      </c>
      <c r="KK334" s="5">
        <v>-9.9805648606748107E-2</v>
      </c>
      <c r="KL334" s="5">
        <v>-4.3633975753524103E-2</v>
      </c>
      <c r="KM334" s="5">
        <v>-3.08433962793096E-3</v>
      </c>
      <c r="KN334" s="5">
        <v>0.46144624604622603</v>
      </c>
      <c r="KO334" s="5">
        <v>-0.43953360765307098</v>
      </c>
      <c r="KP334" s="5">
        <v>0.56417550808275896</v>
      </c>
      <c r="KQ334" s="5">
        <v>-0.41011852268677101</v>
      </c>
      <c r="KR334" s="5">
        <v>1.01036260062622E-2</v>
      </c>
      <c r="KS334" s="5">
        <v>-0.16097321959302699</v>
      </c>
      <c r="KT334" s="5">
        <v>-0.15694787347716099</v>
      </c>
      <c r="KU334" s="5">
        <v>-0.12122535557658599</v>
      </c>
      <c r="KV334" s="5">
        <v>1.77660291255732E-2</v>
      </c>
      <c r="KW334" s="5">
        <v>-0.25124871478833799</v>
      </c>
      <c r="KX334" s="5">
        <v>-2.18627479519761E-2</v>
      </c>
      <c r="KY334" s="5">
        <v>-0.214964969049977</v>
      </c>
      <c r="KZ334" s="5">
        <v>-9.2989683012208099E-2</v>
      </c>
      <c r="LA334" s="5">
        <v>-4.5193907618361701E-2</v>
      </c>
      <c r="LB334" s="5">
        <v>-0.14009037062375601</v>
      </c>
      <c r="LC334" s="5">
        <v>-9.6578370026338498E-2</v>
      </c>
      <c r="LD334" s="5">
        <v>-0.15865339227841399</v>
      </c>
      <c r="LE334" s="5">
        <v>-8.0557575929604802E-2</v>
      </c>
      <c r="LF334" s="5">
        <v>0.377661278220906</v>
      </c>
      <c r="LG334" s="5">
        <v>-0.42501052275523599</v>
      </c>
      <c r="LH334" s="5">
        <v>-0.179312106558221</v>
      </c>
      <c r="LI334" s="5">
        <v>-9.1588976076516296E-2</v>
      </c>
      <c r="LJ334" s="5">
        <v>0.380817317048599</v>
      </c>
      <c r="LK334" s="5">
        <v>-0.39166762899206597</v>
      </c>
      <c r="LL334" s="5">
        <v>-0.10777385009481801</v>
      </c>
      <c r="LM334" s="5">
        <v>-7.8770727925553494E-2</v>
      </c>
      <c r="LN334" s="5">
        <v>-0.174915089605228</v>
      </c>
      <c r="LO334" s="5">
        <v>-2.2728576270071601E-2</v>
      </c>
      <c r="LP334" s="5">
        <v>-0.26015287690600503</v>
      </c>
      <c r="LQ334" s="5">
        <v>9.2690580659767798E-3</v>
      </c>
      <c r="LR334" s="5">
        <v>0.57995413778282301</v>
      </c>
      <c r="LS334" s="5">
        <v>-0.52449560766708103</v>
      </c>
      <c r="LT334" s="5">
        <v>0.51654070781758599</v>
      </c>
      <c r="LU334" s="5">
        <v>-0.46406621007343501</v>
      </c>
      <c r="LV334" s="5">
        <v>1</v>
      </c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</row>
    <row r="335" spans="1:389" x14ac:dyDescent="0.45">
      <c r="A335" s="4" t="str">
        <f ca="1">"SWE / beta2dist in "&amp;CELL("address",'damages-1990'!$K$168)</f>
        <v>SWE / beta2dist in '[BHM betas v3pd.xlsx]damages-1990'!$K$168</v>
      </c>
      <c r="B335" s="6">
        <v>-5.42284828082309E-2</v>
      </c>
      <c r="C335" s="5">
        <v>0.169938308487777</v>
      </c>
      <c r="D335" s="5">
        <v>-5.4764735091128502E-2</v>
      </c>
      <c r="E335" s="5">
        <v>0.26514529199759002</v>
      </c>
      <c r="F335" s="5">
        <v>-0.123226581900458</v>
      </c>
      <c r="G335" s="5">
        <v>0.21417934339254099</v>
      </c>
      <c r="H335" s="5">
        <v>-0.42742703831170498</v>
      </c>
      <c r="I335" s="5">
        <v>0.39926946283919701</v>
      </c>
      <c r="J335" s="5">
        <v>4.7442830189280402E-2</v>
      </c>
      <c r="K335" s="5">
        <v>0.15463541452517299</v>
      </c>
      <c r="L335" s="5">
        <v>5.2617654192171001E-2</v>
      </c>
      <c r="M335" s="5">
        <v>-1.2379978033162001E-2</v>
      </c>
      <c r="N335" s="5">
        <v>8.6920475443044404E-2</v>
      </c>
      <c r="O335" s="5">
        <v>-0.17269450867048999</v>
      </c>
      <c r="P335" s="5">
        <v>3.80274949243094E-3</v>
      </c>
      <c r="Q335" s="5">
        <v>0.16215455828600001</v>
      </c>
      <c r="R335" s="5">
        <v>0.13146586645227501</v>
      </c>
      <c r="S335" s="5">
        <v>0.10151298167374399</v>
      </c>
      <c r="T335" s="5">
        <v>-0.47151508557849803</v>
      </c>
      <c r="U335" s="5">
        <v>0.49853329329533502</v>
      </c>
      <c r="V335" s="5">
        <v>-3.8313178785200699E-2</v>
      </c>
      <c r="W335" s="5">
        <v>0.11783533727554101</v>
      </c>
      <c r="X335" s="5">
        <v>-7.3434185197271101E-2</v>
      </c>
      <c r="Y335" s="5">
        <v>0.25048285612370802</v>
      </c>
      <c r="Z335" s="5">
        <v>-0.42810219472201</v>
      </c>
      <c r="AA335" s="5">
        <v>0.51197376412685103</v>
      </c>
      <c r="AB335" s="5">
        <v>-0.13265099538203201</v>
      </c>
      <c r="AC335" s="5">
        <v>0.23634329715407401</v>
      </c>
      <c r="AD335" s="5">
        <v>-0.19667513117705601</v>
      </c>
      <c r="AE335" s="5">
        <v>0.29375639732507902</v>
      </c>
      <c r="AF335" s="5">
        <v>0.18026179604353601</v>
      </c>
      <c r="AG335" s="5">
        <v>2.40357579400708E-2</v>
      </c>
      <c r="AH335" s="5">
        <v>-0.18046040551557699</v>
      </c>
      <c r="AI335" s="5">
        <v>0.26381251723890597</v>
      </c>
      <c r="AJ335" s="5">
        <v>0.15904266922093999</v>
      </c>
      <c r="AK335" s="5">
        <v>8.68243862632746E-2</v>
      </c>
      <c r="AL335" s="5">
        <v>0.33271589126426598</v>
      </c>
      <c r="AM335" s="5">
        <v>-0.26041287016116599</v>
      </c>
      <c r="AN335" s="5">
        <v>-0.298656188270709</v>
      </c>
      <c r="AO335" s="5">
        <v>0.35750668055728602</v>
      </c>
      <c r="AP335" s="5">
        <v>-0.62993816523989399</v>
      </c>
      <c r="AQ335" s="5">
        <v>0.71524382739945602</v>
      </c>
      <c r="AR335" s="5">
        <v>0.17465800725574701</v>
      </c>
      <c r="AS335" s="5">
        <v>-8.1868752331696396E-3</v>
      </c>
      <c r="AT335" s="5">
        <v>0.50393023006047999</v>
      </c>
      <c r="AU335" s="5">
        <v>-0.44863699607053897</v>
      </c>
      <c r="AV335" s="5">
        <v>0.26606903805308901</v>
      </c>
      <c r="AW335" s="5">
        <v>-4.8589413394535499E-2</v>
      </c>
      <c r="AX335" s="5">
        <v>0.240535953741187</v>
      </c>
      <c r="AY335" s="5">
        <v>-1.70080122864496E-2</v>
      </c>
      <c r="AZ335" s="5">
        <v>5.89671690508176E-2</v>
      </c>
      <c r="BA335" s="5">
        <v>9.4465895327102201E-2</v>
      </c>
      <c r="BB335" s="5">
        <v>-6.8334371417730503E-3</v>
      </c>
      <c r="BC335" s="5">
        <v>0.26440886484006199</v>
      </c>
      <c r="BD335" s="5">
        <v>-0.19221227268578001</v>
      </c>
      <c r="BE335" s="5">
        <v>0.32148667597566999</v>
      </c>
      <c r="BF335" s="5">
        <v>2.18932229615241E-2</v>
      </c>
      <c r="BG335" s="5">
        <v>0.189520973390429</v>
      </c>
      <c r="BH335" s="5">
        <v>-5.4783654572012397E-2</v>
      </c>
      <c r="BI335" s="5">
        <v>0.210031985798808</v>
      </c>
      <c r="BJ335" s="5">
        <v>-0.39869985030964</v>
      </c>
      <c r="BK335" s="5">
        <v>0.24687854378246099</v>
      </c>
      <c r="BL335" s="5">
        <v>-0.41879713602510699</v>
      </c>
      <c r="BM335" s="5">
        <v>0.40742591778180498</v>
      </c>
      <c r="BN335" s="5">
        <v>-0.15426828425331701</v>
      </c>
      <c r="BO335" s="5">
        <v>0.11394981158332999</v>
      </c>
      <c r="BP335" s="5">
        <v>-0.32767381377113303</v>
      </c>
      <c r="BQ335" s="5">
        <v>0.36995756689375098</v>
      </c>
      <c r="BR335" s="5">
        <v>-0.213050131297601</v>
      </c>
      <c r="BS335" s="5">
        <v>0.297133276645902</v>
      </c>
      <c r="BT335" s="5">
        <v>-1.37817317252242E-2</v>
      </c>
      <c r="BU335" s="5">
        <v>0.21573057479869101</v>
      </c>
      <c r="BV335" s="5">
        <v>-8.4137782946906395E-2</v>
      </c>
      <c r="BW335" s="5">
        <v>0.268258393257296</v>
      </c>
      <c r="BX335" s="5">
        <v>-0.11248468405201301</v>
      </c>
      <c r="BY335" s="5">
        <v>0.27169561670789899</v>
      </c>
      <c r="BZ335" s="5">
        <v>7.7115000898788505E-2</v>
      </c>
      <c r="CA335" s="5">
        <v>9.3082566313920007E-2</v>
      </c>
      <c r="CB335" s="5">
        <v>0.17913924692566399</v>
      </c>
      <c r="CC335" s="5">
        <v>-2.28454926034725E-2</v>
      </c>
      <c r="CD335" s="5">
        <v>0.157921036682177</v>
      </c>
      <c r="CE335" s="5">
        <v>-4.4887791634557E-2</v>
      </c>
      <c r="CF335" s="5">
        <v>0.14155445197832001</v>
      </c>
      <c r="CG335" s="5">
        <v>-8.1627969750894293E-3</v>
      </c>
      <c r="CH335" s="5">
        <v>0.27500958786180402</v>
      </c>
      <c r="CI335" s="5">
        <v>-0.20944772527287001</v>
      </c>
      <c r="CJ335" s="5">
        <v>4.9250272064106197E-2</v>
      </c>
      <c r="CK335" s="5">
        <v>9.2377806024659795E-2</v>
      </c>
      <c r="CL335" s="5">
        <v>-0.49348387417129502</v>
      </c>
      <c r="CM335" s="5">
        <v>0.56950452832115095</v>
      </c>
      <c r="CN335" s="5">
        <v>-0.52409450503457899</v>
      </c>
      <c r="CO335" s="5">
        <v>0.62204791741961796</v>
      </c>
      <c r="CP335" s="5">
        <v>-5.0373356625141398E-2</v>
      </c>
      <c r="CQ335" s="5">
        <v>0.13025988678161901</v>
      </c>
      <c r="CR335" s="5">
        <v>4.22064480316207E-2</v>
      </c>
      <c r="CS335" s="5">
        <v>0.117248295777614</v>
      </c>
      <c r="CT335" s="5">
        <v>-0.68124032618410901</v>
      </c>
      <c r="CU335" s="5">
        <v>0.75969481581415099</v>
      </c>
      <c r="CV335" s="5">
        <v>-9.9357011189159197E-2</v>
      </c>
      <c r="CW335" s="5">
        <v>0.25600640667137398</v>
      </c>
      <c r="CX335" s="5">
        <v>4.5228901963552198E-2</v>
      </c>
      <c r="CY335" s="5">
        <v>0.17956897750497</v>
      </c>
      <c r="CZ335" s="5">
        <v>5.7983643396650297E-2</v>
      </c>
      <c r="DA335" s="5">
        <v>0.12549659937476801</v>
      </c>
      <c r="DB335" s="5">
        <v>3.7078981411251197E-2</v>
      </c>
      <c r="DC335" s="5">
        <v>0.26727833686083802</v>
      </c>
      <c r="DD335" s="5">
        <v>-5.6302181977409597E-2</v>
      </c>
      <c r="DE335" s="5">
        <v>0.13220161037660599</v>
      </c>
      <c r="DF335" s="5">
        <v>0.341002767229177</v>
      </c>
      <c r="DG335" s="5">
        <v>-0.20255305111977601</v>
      </c>
      <c r="DH335" s="5">
        <v>-4.1663459969469803E-2</v>
      </c>
      <c r="DI335" s="5">
        <v>0.18936028129923901</v>
      </c>
      <c r="DJ335" s="5">
        <v>-0.735074124251336</v>
      </c>
      <c r="DK335" s="5">
        <v>0.819168526226145</v>
      </c>
      <c r="DL335" s="5">
        <v>-1.9166212805747301E-2</v>
      </c>
      <c r="DM335" s="5">
        <v>0.13774608295363999</v>
      </c>
      <c r="DN335" s="5">
        <v>-0.77878431910708601</v>
      </c>
      <c r="DO335" s="5">
        <v>0.84990653243819303</v>
      </c>
      <c r="DP335" s="5">
        <v>0.12581105398645601</v>
      </c>
      <c r="DQ335" s="5">
        <v>-7.1487582157277907E-2</v>
      </c>
      <c r="DR335" s="5">
        <v>-0.29610133962513602</v>
      </c>
      <c r="DS335" s="5">
        <v>0.412574787648602</v>
      </c>
      <c r="DT335" s="5">
        <v>0.19406429087302801</v>
      </c>
      <c r="DU335" s="5">
        <v>-0.11506048488470801</v>
      </c>
      <c r="DV335" s="5">
        <v>-0.12740557378815701</v>
      </c>
      <c r="DW335" s="5">
        <v>0.243870165307916</v>
      </c>
      <c r="DX335" s="5">
        <v>-0.453695719332674</v>
      </c>
      <c r="DY335" s="5">
        <v>0.47827904486988598</v>
      </c>
      <c r="DZ335" s="5">
        <v>-1.30672301845656E-2</v>
      </c>
      <c r="EA335" s="5">
        <v>-2.5873283721838301E-2</v>
      </c>
      <c r="EB335" s="5">
        <v>-0.12725404114491201</v>
      </c>
      <c r="EC335" s="5">
        <v>0.24621336990236201</v>
      </c>
      <c r="ED335" s="5">
        <v>-0.193213190614273</v>
      </c>
      <c r="EE335" s="5">
        <v>0.33041648479991498</v>
      </c>
      <c r="EF335" s="5">
        <v>-1.56555487333136E-3</v>
      </c>
      <c r="EG335" s="5">
        <v>0.15338591611751201</v>
      </c>
      <c r="EH335" s="5">
        <v>5.6006438242136102E-2</v>
      </c>
      <c r="EI335" s="5">
        <v>0.113896179747528</v>
      </c>
      <c r="EJ335" s="5">
        <v>-1.8816984611279199E-2</v>
      </c>
      <c r="EK335" s="5">
        <v>0.19829935448724301</v>
      </c>
      <c r="EL335" s="5">
        <v>0.127500454230216</v>
      </c>
      <c r="EM335" s="5">
        <v>7.1531198972739603E-3</v>
      </c>
      <c r="EN335" s="5">
        <v>4.9921776428548399E-2</v>
      </c>
      <c r="EO335" s="5">
        <v>2.8530558692750799E-2</v>
      </c>
      <c r="EP335" s="5">
        <v>9.5837988484587799E-2</v>
      </c>
      <c r="EQ335" s="5">
        <v>7.7377155731806896E-2</v>
      </c>
      <c r="ER335" s="5">
        <v>0.139674666630977</v>
      </c>
      <c r="ES335" s="5">
        <v>4.17045990314533E-2</v>
      </c>
      <c r="ET335" s="5">
        <v>0.17042530115475699</v>
      </c>
      <c r="EU335" s="5">
        <v>1.5744506865551702E-2</v>
      </c>
      <c r="EV335" s="5">
        <v>0.13127015603189199</v>
      </c>
      <c r="EW335" s="5">
        <v>0.111801588622993</v>
      </c>
      <c r="EX335" s="5">
        <v>0.31932692721996297</v>
      </c>
      <c r="EY335" s="5">
        <v>-0.10902453746986</v>
      </c>
      <c r="EZ335" s="5">
        <v>9.8359323633472301E-2</v>
      </c>
      <c r="FA335" s="5">
        <v>0.103075264911043</v>
      </c>
      <c r="FB335" s="5">
        <v>-0.19169981429786401</v>
      </c>
      <c r="FC335" s="5">
        <v>0.27824048017813702</v>
      </c>
      <c r="FD335" s="5">
        <v>-3.9317395242572497E-3</v>
      </c>
      <c r="FE335" s="5">
        <v>0.15676615080001299</v>
      </c>
      <c r="FF335" s="5">
        <v>-0.27439894540059101</v>
      </c>
      <c r="FG335" s="5">
        <v>0.358167431476897</v>
      </c>
      <c r="FH335" s="5">
        <v>0.27788427620662498</v>
      </c>
      <c r="FI335" s="5">
        <v>-0.246913582632489</v>
      </c>
      <c r="FJ335" s="5">
        <v>9.2979410906810195E-2</v>
      </c>
      <c r="FK335" s="5">
        <v>0.116109868746338</v>
      </c>
      <c r="FL335" s="5">
        <v>-0.24064855226496301</v>
      </c>
      <c r="FM335" s="5">
        <v>0.19770843433110999</v>
      </c>
      <c r="FN335" s="5">
        <v>-0.113468534748973</v>
      </c>
      <c r="FO335" s="5">
        <v>0.24660063874108101</v>
      </c>
      <c r="FP335" s="5">
        <v>-2.5765468968332501E-2</v>
      </c>
      <c r="FQ335" s="5">
        <v>0.21363664154453699</v>
      </c>
      <c r="FR335" s="5">
        <v>-0.12253651371395199</v>
      </c>
      <c r="FS335" s="5">
        <v>-3.0446049070808601E-2</v>
      </c>
      <c r="FT335" s="5">
        <v>5.2356426237599903E-2</v>
      </c>
      <c r="FU335" s="5">
        <v>0.208866872078694</v>
      </c>
      <c r="FV335" s="5">
        <v>-7.7560964155421006E-2</v>
      </c>
      <c r="FW335" s="5">
        <v>0.18040064522625801</v>
      </c>
      <c r="FX335" s="5">
        <v>0.13862194280339399</v>
      </c>
      <c r="FY335" s="5">
        <v>2.7628608116106599E-2</v>
      </c>
      <c r="FZ335" s="5">
        <v>1.57437601197488E-3</v>
      </c>
      <c r="GA335" s="5">
        <v>0.28057733322688999</v>
      </c>
      <c r="GB335" s="5">
        <v>-0.235638380212746</v>
      </c>
      <c r="GC335" s="5">
        <v>0.349170827533828</v>
      </c>
      <c r="GD335" s="5">
        <v>-0.34430611017907198</v>
      </c>
      <c r="GE335" s="5">
        <v>0.36148498363241399</v>
      </c>
      <c r="GF335" s="5">
        <v>0.114307382655271</v>
      </c>
      <c r="GG335" s="5">
        <v>6.0735408811136801E-2</v>
      </c>
      <c r="GH335" s="5">
        <v>-7.9263340138099506E-2</v>
      </c>
      <c r="GI335" s="5">
        <v>-7.3752979270108196E-2</v>
      </c>
      <c r="GJ335" s="5">
        <v>0.28606572955022902</v>
      </c>
      <c r="GK335" s="5">
        <v>-0.12794899525394299</v>
      </c>
      <c r="GL335" s="5">
        <v>-8.97692236621698E-2</v>
      </c>
      <c r="GM335" s="5">
        <v>0.251416961145147</v>
      </c>
      <c r="GN335" s="5">
        <v>-0.19156874439531399</v>
      </c>
      <c r="GO335" s="5">
        <v>0.34242490479642701</v>
      </c>
      <c r="GP335" s="5">
        <v>8.7544416116702398E-2</v>
      </c>
      <c r="GQ335" s="5">
        <v>0.13582542795499</v>
      </c>
      <c r="GR335" s="5">
        <v>0.15237899579608699</v>
      </c>
      <c r="GS335" s="5">
        <v>4.68501504437287E-2</v>
      </c>
      <c r="GT335" s="5">
        <v>-3.8758107333871097E-2</v>
      </c>
      <c r="GU335" s="5">
        <v>0.179148880755581</v>
      </c>
      <c r="GV335" s="5">
        <v>-0.12895051161149301</v>
      </c>
      <c r="GW335" s="5">
        <v>0.23669092884843801</v>
      </c>
      <c r="GX335" s="5">
        <v>1.33991830609417E-2</v>
      </c>
      <c r="GY335" s="5">
        <v>0.20357390469317099</v>
      </c>
      <c r="GZ335" s="5">
        <v>-0.45120510486656601</v>
      </c>
      <c r="HA335" s="5">
        <v>0.45283728410530699</v>
      </c>
      <c r="HB335" s="5">
        <v>0.29491542644815799</v>
      </c>
      <c r="HC335" s="5">
        <v>-0.11490263380164099</v>
      </c>
      <c r="HD335" s="5">
        <v>-0.117822630299293</v>
      </c>
      <c r="HE335" s="5">
        <v>0.18663991330087201</v>
      </c>
      <c r="HF335" s="5">
        <v>-0.69214568702700896</v>
      </c>
      <c r="HG335" s="5">
        <v>0.77990221090442902</v>
      </c>
      <c r="HH335" s="5">
        <v>-0.44998340686017002</v>
      </c>
      <c r="HI335" s="5">
        <v>0.52706440673678101</v>
      </c>
      <c r="HJ335" s="5">
        <v>-0.72401444085789901</v>
      </c>
      <c r="HK335" s="5">
        <v>0.79951835571983698</v>
      </c>
      <c r="HL335" s="5">
        <v>0.18261867018393799</v>
      </c>
      <c r="HM335" s="5">
        <v>-2.4752921190775701E-2</v>
      </c>
      <c r="HN335" s="5">
        <v>-0.30586408403731902</v>
      </c>
      <c r="HO335" s="5">
        <v>0.418584506861924</v>
      </c>
      <c r="HP335" s="5">
        <v>0.14030357442952099</v>
      </c>
      <c r="HQ335" s="5">
        <v>8.57631033609806E-2</v>
      </c>
      <c r="HR335" s="5">
        <v>0.15094108867654399</v>
      </c>
      <c r="HS335" s="5">
        <v>1.22116114338621E-2</v>
      </c>
      <c r="HT335" s="5">
        <v>-0.21144618352816699</v>
      </c>
      <c r="HU335" s="5">
        <v>0.281685526088372</v>
      </c>
      <c r="HV335" s="5">
        <v>-0.101382841596072</v>
      </c>
      <c r="HW335" s="5">
        <v>0.26194080365760403</v>
      </c>
      <c r="HX335" s="5">
        <v>0.17642206367781099</v>
      </c>
      <c r="HY335" s="5">
        <v>-1.35314028933364E-3</v>
      </c>
      <c r="HZ335" s="5">
        <v>-0.31371436872628999</v>
      </c>
      <c r="IA335" s="5">
        <v>0.353204628213446</v>
      </c>
      <c r="IB335" s="5">
        <v>-0.41253151445634501</v>
      </c>
      <c r="IC335" s="5">
        <v>0.38907209417050298</v>
      </c>
      <c r="ID335" s="5">
        <v>-5.40421794251955E-2</v>
      </c>
      <c r="IE335" s="5">
        <v>0.379620398849699</v>
      </c>
      <c r="IF335" s="5">
        <v>0.146212090560529</v>
      </c>
      <c r="IG335" s="5">
        <v>2.1047539237301099E-2</v>
      </c>
      <c r="IH335" s="5">
        <v>7.0529720764063497E-2</v>
      </c>
      <c r="II335" s="5">
        <v>9.1993620815527394E-2</v>
      </c>
      <c r="IJ335" s="5">
        <v>0.105232655142628</v>
      </c>
      <c r="IK335" s="5">
        <v>-2.65640714420327E-2</v>
      </c>
      <c r="IL335" s="5">
        <v>1.05368810497488E-2</v>
      </c>
      <c r="IM335" s="5">
        <v>0.26213619754532302</v>
      </c>
      <c r="IN335" s="5">
        <v>0.144556766580278</v>
      </c>
      <c r="IO335" s="5">
        <v>4.1409917278118699E-2</v>
      </c>
      <c r="IP335" s="5">
        <v>-2.7674149784643099E-2</v>
      </c>
      <c r="IQ335" s="5">
        <v>0.25961118719684201</v>
      </c>
      <c r="IR335" s="5">
        <v>0.26021626280357602</v>
      </c>
      <c r="IS335" s="5">
        <v>-0.123798205963762</v>
      </c>
      <c r="IT335" s="5">
        <v>-0.136402460021183</v>
      </c>
      <c r="IU335" s="5">
        <v>0.32821849712405399</v>
      </c>
      <c r="IV335" s="5">
        <v>-0.26363189384500302</v>
      </c>
      <c r="IW335" s="5">
        <v>0.38879211336966601</v>
      </c>
      <c r="IX335" s="5">
        <v>0.14044627202861301</v>
      </c>
      <c r="IY335" s="5">
        <v>4.6833776965112997E-2</v>
      </c>
      <c r="IZ335" s="5">
        <v>-0.48072269130663903</v>
      </c>
      <c r="JA335" s="5">
        <v>0.56298545021593005</v>
      </c>
      <c r="JB335" s="5">
        <v>-0.78626195249168995</v>
      </c>
      <c r="JC335" s="5">
        <v>0.87437701315369598</v>
      </c>
      <c r="JD335" s="5">
        <v>-5.2499578849543801E-2</v>
      </c>
      <c r="JE335" s="5">
        <v>0.19734021162043699</v>
      </c>
      <c r="JF335" s="5">
        <v>-9.4949507221485596E-2</v>
      </c>
      <c r="JG335" s="5">
        <v>0.20213557454331901</v>
      </c>
      <c r="JH335" s="5">
        <v>-7.3223292580784402E-2</v>
      </c>
      <c r="JI335" s="5">
        <v>9.0185365832664802E-2</v>
      </c>
      <c r="JJ335" s="5">
        <v>-1.9732407374737599E-2</v>
      </c>
      <c r="JK335" s="5">
        <v>0.255018895548555</v>
      </c>
      <c r="JL335" s="5">
        <v>1.65500698132156E-2</v>
      </c>
      <c r="JM335" s="5">
        <v>0.19065767985606799</v>
      </c>
      <c r="JN335" s="5">
        <v>4.7075392121251003E-2</v>
      </c>
      <c r="JO335" s="5">
        <v>0.11926729005813699</v>
      </c>
      <c r="JP335" s="5">
        <v>0.183618701420761</v>
      </c>
      <c r="JQ335" s="5">
        <v>4.8127618851700298E-3</v>
      </c>
      <c r="JR335" s="5">
        <v>0.18673991763297501</v>
      </c>
      <c r="JS335" s="5">
        <v>7.18698681636427E-2</v>
      </c>
      <c r="JT335" s="5">
        <v>0.25053976980578602</v>
      </c>
      <c r="JU335" s="5">
        <v>-0.13150308680174799</v>
      </c>
      <c r="JV335" s="5">
        <v>0.29002390120322302</v>
      </c>
      <c r="JW335" s="5">
        <v>-0.20121875593048399</v>
      </c>
      <c r="JX335" s="5">
        <v>-0.59585121565033194</v>
      </c>
      <c r="JY335" s="5">
        <v>0.69662344324903303</v>
      </c>
      <c r="JZ335" s="5">
        <v>-4.90972407214934E-2</v>
      </c>
      <c r="KA335" s="5">
        <v>0.20359613065766399</v>
      </c>
      <c r="KB335" s="5">
        <v>-0.53011512407350903</v>
      </c>
      <c r="KC335" s="5">
        <v>0.583302819180889</v>
      </c>
      <c r="KD335" s="5">
        <v>0.15066264814977101</v>
      </c>
      <c r="KE335" s="5">
        <v>-3.7635888731577499E-2</v>
      </c>
      <c r="KF335" s="5">
        <v>0.11214875383858899</v>
      </c>
      <c r="KG335" s="5">
        <v>-6.2247785319072102E-2</v>
      </c>
      <c r="KH335" s="5">
        <v>4.3552406560731699E-2</v>
      </c>
      <c r="KI335" s="5">
        <v>0.20506467490240499</v>
      </c>
      <c r="KJ335" s="5">
        <v>0.14301119424585401</v>
      </c>
      <c r="KK335" s="5">
        <v>9.5564413042196303E-2</v>
      </c>
      <c r="KL335" s="5">
        <v>5.6532742638448499E-2</v>
      </c>
      <c r="KM335" s="5">
        <v>5.3037041230209504E-3</v>
      </c>
      <c r="KN335" s="5">
        <v>-0.33327033447113102</v>
      </c>
      <c r="KO335" s="5">
        <v>0.42277774765182902</v>
      </c>
      <c r="KP335" s="5">
        <v>-0.444143832573341</v>
      </c>
      <c r="KQ335" s="5">
        <v>0.43530650253828002</v>
      </c>
      <c r="KR335" s="5">
        <v>-6.06913562386266E-2</v>
      </c>
      <c r="KS335" s="5">
        <v>0.17894786767356899</v>
      </c>
      <c r="KT335" s="5">
        <v>0.102017942704712</v>
      </c>
      <c r="KU335" s="5">
        <v>9.8951005350675206E-2</v>
      </c>
      <c r="KV335" s="5">
        <v>-9.1469341294781195E-2</v>
      </c>
      <c r="KW335" s="5">
        <v>0.25216041607894901</v>
      </c>
      <c r="KX335" s="5">
        <v>-3.8569795671544302E-3</v>
      </c>
      <c r="KY335" s="5">
        <v>0.17001163466774299</v>
      </c>
      <c r="KZ335" s="5">
        <v>3.14392827735386E-2</v>
      </c>
      <c r="LA335" s="5">
        <v>6.3948206967628096E-2</v>
      </c>
      <c r="LB335" s="5">
        <v>6.2212143635057601E-2</v>
      </c>
      <c r="LC335" s="5">
        <v>0.11833946307214301</v>
      </c>
      <c r="LD335" s="5">
        <v>7.4555351050769297E-2</v>
      </c>
      <c r="LE335" s="5">
        <v>0.104238743557201</v>
      </c>
      <c r="LF335" s="5">
        <v>-0.221306202065466</v>
      </c>
      <c r="LG335" s="5">
        <v>0.33654827614555999</v>
      </c>
      <c r="LH335" s="5">
        <v>5.5438292953031702E-2</v>
      </c>
      <c r="LI335" s="5">
        <v>0.15106202392172399</v>
      </c>
      <c r="LJ335" s="5">
        <v>-0.22696099045858201</v>
      </c>
      <c r="LK335" s="5">
        <v>0.31140332115930403</v>
      </c>
      <c r="LL335" s="5">
        <v>2.64891379926043E-2</v>
      </c>
      <c r="LM335" s="5">
        <v>9.1409633726235104E-2</v>
      </c>
      <c r="LN335" s="5">
        <v>0.11863148603661</v>
      </c>
      <c r="LO335" s="5">
        <v>6.1050383601935702E-2</v>
      </c>
      <c r="LP335" s="5">
        <v>0.14826480497813299</v>
      </c>
      <c r="LQ335" s="5">
        <v>5.6792864070681098E-2</v>
      </c>
      <c r="LR335" s="5">
        <v>-0.47044426018810398</v>
      </c>
      <c r="LS335" s="5">
        <v>0.54016955069313199</v>
      </c>
      <c r="LT335" s="5">
        <v>-0.36921478751543901</v>
      </c>
      <c r="LU335" s="5">
        <v>0.43094590105577901</v>
      </c>
      <c r="LV335" s="5">
        <v>-0.917089743077808</v>
      </c>
      <c r="LW335" s="5">
        <v>1</v>
      </c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</row>
    <row r="336" spans="1:389" x14ac:dyDescent="0.45">
      <c r="A336" s="4" t="str">
        <f ca="1">"SYR / beta1dist in "&amp;CELL("address",'damages-1990'!$J$169)</f>
        <v>SYR / beta1dist in '[BHM betas v3pd.xlsx]damages-1990'!$J$169</v>
      </c>
      <c r="B336" s="6">
        <v>0.40798290637705698</v>
      </c>
      <c r="C336" s="5">
        <v>-1.45365752674139E-2</v>
      </c>
      <c r="D336" s="5">
        <v>0.302960540565196</v>
      </c>
      <c r="E336" s="5">
        <v>1.1722656972546401E-2</v>
      </c>
      <c r="F336" s="5">
        <v>0.35360651291880502</v>
      </c>
      <c r="G336" s="5">
        <v>-6.6565292952330601E-2</v>
      </c>
      <c r="H336" s="5">
        <v>-0.14640976322518801</v>
      </c>
      <c r="I336" s="5">
        <v>0.24206405114107399</v>
      </c>
      <c r="J336" s="5">
        <v>0.54050608480378004</v>
      </c>
      <c r="K336" s="5">
        <v>-0.27555762528564498</v>
      </c>
      <c r="L336" s="5">
        <v>0.49351538289952102</v>
      </c>
      <c r="M336" s="5">
        <v>-0.15454866834261</v>
      </c>
      <c r="N336" s="5">
        <v>-0.19226665109940999</v>
      </c>
      <c r="O336" s="5">
        <v>0.41155684101045498</v>
      </c>
      <c r="P336" s="5">
        <v>5.81293118230631E-2</v>
      </c>
      <c r="Q336" s="5">
        <v>6.9190607244206198E-2</v>
      </c>
      <c r="R336" s="5">
        <v>0.46907949646753699</v>
      </c>
      <c r="S336" s="5">
        <v>-0.16127666512875499</v>
      </c>
      <c r="T336" s="5">
        <v>-0.166122716755148</v>
      </c>
      <c r="U336" s="5">
        <v>0.27953577632794102</v>
      </c>
      <c r="V336" s="5">
        <v>0.44925401073719501</v>
      </c>
      <c r="W336" s="5">
        <v>-3.4881770502425899E-2</v>
      </c>
      <c r="X336" s="5">
        <v>0.336243872154523</v>
      </c>
      <c r="Y336" s="5">
        <v>-1.26515352379924E-2</v>
      </c>
      <c r="Z336" s="5">
        <v>2.71484843140254E-2</v>
      </c>
      <c r="AA336" s="5">
        <v>0.19538676756479301</v>
      </c>
      <c r="AB336" s="5">
        <v>0.245534615304526</v>
      </c>
      <c r="AC336" s="5">
        <v>-5.0654790141233599E-2</v>
      </c>
      <c r="AD336" s="5">
        <v>0.35869584952222999</v>
      </c>
      <c r="AE336" s="5">
        <v>-0.121909538594903</v>
      </c>
      <c r="AF336" s="5">
        <v>0.34349829810740401</v>
      </c>
      <c r="AG336" s="5">
        <v>-0.10911608776744799</v>
      </c>
      <c r="AH336" s="5">
        <v>0.218376576996442</v>
      </c>
      <c r="AI336" s="5">
        <v>6.7146752143271399E-2</v>
      </c>
      <c r="AJ336" s="5">
        <v>0.53967126109497698</v>
      </c>
      <c r="AK336" s="5">
        <v>-0.28580908051703002</v>
      </c>
      <c r="AL336" s="5">
        <v>0.16275544691086299</v>
      </c>
      <c r="AM336" s="5">
        <v>2.08054073594508E-2</v>
      </c>
      <c r="AN336" s="5">
        <v>2.0545763557814501E-2</v>
      </c>
      <c r="AO336" s="5">
        <v>0.209741638383176</v>
      </c>
      <c r="AP336" s="5">
        <v>5.1424735589417798E-2</v>
      </c>
      <c r="AQ336" s="5">
        <v>5.0145775288376803E-3</v>
      </c>
      <c r="AR336" s="5">
        <v>0.28667882358666402</v>
      </c>
      <c r="AS336" s="5">
        <v>-5.0552281002822497E-2</v>
      </c>
      <c r="AT336" s="5">
        <v>0.1061192587663</v>
      </c>
      <c r="AU336" s="5">
        <v>9.4764742837425101E-2</v>
      </c>
      <c r="AV336" s="5">
        <v>0.46391321193516499</v>
      </c>
      <c r="AW336" s="5">
        <v>-0.17768005965282399</v>
      </c>
      <c r="AX336" s="5">
        <v>0.38735910514260402</v>
      </c>
      <c r="AY336" s="5">
        <v>-7.7808178600409103E-2</v>
      </c>
      <c r="AZ336" s="5">
        <v>0.13279011285978801</v>
      </c>
      <c r="BA336" s="5">
        <v>-3.8024582038340998E-2</v>
      </c>
      <c r="BB336" s="5">
        <v>0.43647909226895398</v>
      </c>
      <c r="BC336" s="5">
        <v>-0.16978172857724999</v>
      </c>
      <c r="BD336" s="5">
        <v>0.28995894966200902</v>
      </c>
      <c r="BE336" s="5">
        <v>8.5302833027256095E-2</v>
      </c>
      <c r="BF336" s="5">
        <v>0.18875880418831401</v>
      </c>
      <c r="BG336" s="5">
        <v>9.22148621207909E-2</v>
      </c>
      <c r="BH336" s="5">
        <v>0.362340067159165</v>
      </c>
      <c r="BI336" s="5">
        <v>-0.101525059582805</v>
      </c>
      <c r="BJ336" s="5">
        <v>-0.19299341517459401</v>
      </c>
      <c r="BK336" s="5">
        <v>0.181887929170509</v>
      </c>
      <c r="BL336" s="5">
        <v>-0.198612536763382</v>
      </c>
      <c r="BM336" s="5">
        <v>0.31164304758697697</v>
      </c>
      <c r="BN336" s="5">
        <v>0.12811551565559801</v>
      </c>
      <c r="BO336" s="5">
        <v>7.4671338164126702E-2</v>
      </c>
      <c r="BP336" s="5">
        <v>5.59297361599271E-2</v>
      </c>
      <c r="BQ336" s="5">
        <v>0.14336361483938001</v>
      </c>
      <c r="BR336" s="5">
        <v>0.35638571473160602</v>
      </c>
      <c r="BS336" s="5">
        <v>-0.12843401293301199</v>
      </c>
      <c r="BT336" s="5">
        <v>0.44398977728660299</v>
      </c>
      <c r="BU336" s="5">
        <v>-0.186832568716853</v>
      </c>
      <c r="BV336" s="5">
        <v>0.405032136630183</v>
      </c>
      <c r="BW336" s="5">
        <v>-0.129630205477239</v>
      </c>
      <c r="BX336" s="5">
        <v>0.37133894767597603</v>
      </c>
      <c r="BY336" s="5">
        <v>-0.14030892804401099</v>
      </c>
      <c r="BZ336" s="5">
        <v>0.41289762055760398</v>
      </c>
      <c r="CA336" s="5">
        <v>-0.13171522050904999</v>
      </c>
      <c r="CB336" s="5">
        <v>0.14676897008579101</v>
      </c>
      <c r="CC336" s="5">
        <v>3.5033455384026698E-3</v>
      </c>
      <c r="CD336" s="5">
        <v>6.9982136524145797E-2</v>
      </c>
      <c r="CE336" s="5">
        <v>0.11145618747522799</v>
      </c>
      <c r="CF336" s="5">
        <v>0.16843197690245301</v>
      </c>
      <c r="CG336" s="5">
        <v>7.9728803081329808E-3</v>
      </c>
      <c r="CH336" s="5">
        <v>9.9054425478786401E-2</v>
      </c>
      <c r="CI336" s="5">
        <v>7.9675232398906504E-2</v>
      </c>
      <c r="CJ336" s="5">
        <v>0.70219416240316002</v>
      </c>
      <c r="CK336" s="5">
        <v>-0.51441375114917798</v>
      </c>
      <c r="CL336" s="5">
        <v>-6.14594051236503E-2</v>
      </c>
      <c r="CM336" s="5">
        <v>0.21235922891930001</v>
      </c>
      <c r="CN336" s="5">
        <v>5.3439094529058699E-3</v>
      </c>
      <c r="CO336" s="5">
        <v>0.18004834236787801</v>
      </c>
      <c r="CP336" s="5">
        <v>0.361998522833265</v>
      </c>
      <c r="CQ336" s="5">
        <v>-0.168832876871647</v>
      </c>
      <c r="CR336" s="5">
        <v>0.101243445432056</v>
      </c>
      <c r="CS336" s="5">
        <v>3.5420309156442099E-2</v>
      </c>
      <c r="CT336" s="5">
        <v>4.9997625811134601E-2</v>
      </c>
      <c r="CU336" s="5">
        <v>4.4667857049734402E-2</v>
      </c>
      <c r="CV336" s="5">
        <v>0.13103275527726799</v>
      </c>
      <c r="CW336" s="5">
        <v>3.8090711813944501E-2</v>
      </c>
      <c r="CX336" s="5">
        <v>0.57644986606545801</v>
      </c>
      <c r="CY336" s="5">
        <v>-0.29602945159987099</v>
      </c>
      <c r="CZ336" s="5">
        <v>0.30528142063853497</v>
      </c>
      <c r="DA336" s="5">
        <v>-1.16161640751868E-4</v>
      </c>
      <c r="DB336" s="5">
        <v>0.66877503224515</v>
      </c>
      <c r="DC336" s="5">
        <v>-0.40075083621195301</v>
      </c>
      <c r="DD336" s="5">
        <v>0.36559620425844003</v>
      </c>
      <c r="DE336" s="5">
        <v>-0.115643779066438</v>
      </c>
      <c r="DF336" s="5">
        <v>0.33544333315267499</v>
      </c>
      <c r="DG336" s="5">
        <v>-7.7642321582494706E-2</v>
      </c>
      <c r="DH336" s="5">
        <v>0.40066323412280902</v>
      </c>
      <c r="DI336" s="5">
        <v>-7.6421028689182297E-2</v>
      </c>
      <c r="DJ336" s="5">
        <v>8.2468361238905705E-2</v>
      </c>
      <c r="DK336" s="5">
        <v>-5.6685828211475102E-2</v>
      </c>
      <c r="DL336" s="5">
        <v>0.359755553894263</v>
      </c>
      <c r="DM336" s="5">
        <v>-9.0983082276923699E-2</v>
      </c>
      <c r="DN336" s="5">
        <v>1.02295187955846E-2</v>
      </c>
      <c r="DO336" s="5">
        <v>-3.8598523846576901E-2</v>
      </c>
      <c r="DP336" s="5">
        <v>0.35158499061192</v>
      </c>
      <c r="DQ336" s="5">
        <v>-9.8553209391905205E-2</v>
      </c>
      <c r="DR336" s="5">
        <v>0.17378664541908201</v>
      </c>
      <c r="DS336" s="5">
        <v>0.11959821564834</v>
      </c>
      <c r="DT336" s="5">
        <v>0.36077831132529897</v>
      </c>
      <c r="DU336" s="5">
        <v>-0.22766683460313</v>
      </c>
      <c r="DV336" s="5">
        <v>0.239374307047165</v>
      </c>
      <c r="DW336" s="5">
        <v>-2.1337736074685601E-2</v>
      </c>
      <c r="DX336" s="5">
        <v>3.1355513563320399E-2</v>
      </c>
      <c r="DY336" s="5">
        <v>8.5509053080098305E-2</v>
      </c>
      <c r="DZ336" s="5">
        <v>-0.134705163820766</v>
      </c>
      <c r="EA336" s="5">
        <v>0.38475916222849998</v>
      </c>
      <c r="EB336" s="5">
        <v>0.34543134248285901</v>
      </c>
      <c r="EC336" s="5">
        <v>-0.116028017769539</v>
      </c>
      <c r="ED336" s="5">
        <v>0.39515562136082599</v>
      </c>
      <c r="EE336" s="5">
        <v>-0.13233843986035301</v>
      </c>
      <c r="EF336" s="5">
        <v>7.1916935923636002E-2</v>
      </c>
      <c r="EG336" s="5">
        <v>5.60599463051153E-2</v>
      </c>
      <c r="EH336" s="5">
        <v>0.39189044283401597</v>
      </c>
      <c r="EI336" s="5">
        <v>-0.112910421084053</v>
      </c>
      <c r="EJ336" s="5">
        <v>0.416490612152426</v>
      </c>
      <c r="EK336" s="5">
        <v>-0.11954246744810899</v>
      </c>
      <c r="EL336" s="5">
        <v>0.41811845117396901</v>
      </c>
      <c r="EM336" s="5">
        <v>-0.20000866805464601</v>
      </c>
      <c r="EN336" s="5">
        <v>0.637359470900284</v>
      </c>
      <c r="EO336" s="5">
        <v>-0.37287513308819198</v>
      </c>
      <c r="EP336" s="5">
        <v>0.10538202365496301</v>
      </c>
      <c r="EQ336" s="5">
        <v>8.3036761579551796E-3</v>
      </c>
      <c r="ER336" s="5">
        <v>0.30627950809284799</v>
      </c>
      <c r="ES336" s="5">
        <v>-8.2056430218879501E-3</v>
      </c>
      <c r="ET336" s="5">
        <v>0.13246955007984501</v>
      </c>
      <c r="EU336" s="5">
        <v>0.111220499588272</v>
      </c>
      <c r="EV336" s="5">
        <v>0.30223550035177899</v>
      </c>
      <c r="EW336" s="5">
        <v>-9.6213327737855306E-2</v>
      </c>
      <c r="EX336" s="5">
        <v>0.11772594374300401</v>
      </c>
      <c r="EY336" s="5">
        <v>0.114249956891079</v>
      </c>
      <c r="EZ336" s="5">
        <v>0.30019462820599402</v>
      </c>
      <c r="FA336" s="5">
        <v>-6.0223646184415398E-2</v>
      </c>
      <c r="FB336" s="5">
        <v>0.205893255362052</v>
      </c>
      <c r="FC336" s="5">
        <v>8.3871197663719005E-2</v>
      </c>
      <c r="FD336" s="5">
        <v>0.161027305603681</v>
      </c>
      <c r="FE336" s="5">
        <v>2.2748547740750101E-2</v>
      </c>
      <c r="FF336" s="5">
        <v>0.156050741925264</v>
      </c>
      <c r="FG336" s="5">
        <v>9.5786722195605606E-2</v>
      </c>
      <c r="FH336" s="5">
        <v>0.43481316543690801</v>
      </c>
      <c r="FI336" s="5">
        <v>-0.27068934281378398</v>
      </c>
      <c r="FJ336" s="5">
        <v>0.26975302174107102</v>
      </c>
      <c r="FK336" s="5">
        <v>8.5307534172356897E-2</v>
      </c>
      <c r="FL336" s="5">
        <v>9.5159305738927794E-2</v>
      </c>
      <c r="FM336" s="5">
        <v>2.2676165192523599E-2</v>
      </c>
      <c r="FN336" s="5">
        <v>0.60814429123127101</v>
      </c>
      <c r="FO336" s="5">
        <v>-0.27461314422949501</v>
      </c>
      <c r="FP336" s="5">
        <v>0.79919070264854197</v>
      </c>
      <c r="FQ336" s="5">
        <v>-0.57618268449073995</v>
      </c>
      <c r="FR336" s="5">
        <v>-5.34182272331198E-2</v>
      </c>
      <c r="FS336" s="5">
        <v>-4.2075164237412498E-2</v>
      </c>
      <c r="FT336" s="5">
        <v>0.81330151447447396</v>
      </c>
      <c r="FU336" s="5">
        <v>-0.58330569777770902</v>
      </c>
      <c r="FV336" s="5">
        <v>0.38863132937677303</v>
      </c>
      <c r="FW336" s="5">
        <v>-0.111998997569955</v>
      </c>
      <c r="FX336" s="5">
        <v>0.24568228905516601</v>
      </c>
      <c r="FY336" s="5">
        <v>-6.2656924071633993E-2</v>
      </c>
      <c r="FZ336" s="5">
        <v>0.821822961651275</v>
      </c>
      <c r="GA336" s="5">
        <v>-0.58094940875170598</v>
      </c>
      <c r="GB336" s="5">
        <v>0.213827652128385</v>
      </c>
      <c r="GC336" s="5">
        <v>0.13823051518047999</v>
      </c>
      <c r="GD336" s="5">
        <v>-4.0414968486604003E-2</v>
      </c>
      <c r="GE336" s="5">
        <v>0.13838059869762601</v>
      </c>
      <c r="GF336" s="5">
        <v>0.26083088992136</v>
      </c>
      <c r="GG336" s="5">
        <v>2.4749635345075901E-2</v>
      </c>
      <c r="GH336" s="5">
        <v>-0.16809492813114499</v>
      </c>
      <c r="GI336" s="5">
        <v>0.196406198389625</v>
      </c>
      <c r="GJ336" s="5">
        <v>0.20594044587232299</v>
      </c>
      <c r="GK336" s="5">
        <v>-1.1828165221493901E-3</v>
      </c>
      <c r="GL336" s="5">
        <v>0.10507814708280799</v>
      </c>
      <c r="GM336" s="5">
        <v>1.3442621974100099E-2</v>
      </c>
      <c r="GN336" s="5">
        <v>0.26919312399102602</v>
      </c>
      <c r="GO336" s="5">
        <v>6.2789488358549098E-2</v>
      </c>
      <c r="GP336" s="5">
        <v>0.62986019476760402</v>
      </c>
      <c r="GQ336" s="5">
        <v>-0.393292912194185</v>
      </c>
      <c r="GR336" s="5">
        <v>0.31284528380993198</v>
      </c>
      <c r="GS336" s="5">
        <v>-0.146178997924235</v>
      </c>
      <c r="GT336" s="5">
        <v>0.80846111656797504</v>
      </c>
      <c r="GU336" s="5">
        <v>-0.58182624027592</v>
      </c>
      <c r="GV336" s="5">
        <v>0.203101241815345</v>
      </c>
      <c r="GW336" s="5">
        <v>1.6864095624917402E-2</v>
      </c>
      <c r="GX336" s="5">
        <v>0.59864567006043601</v>
      </c>
      <c r="GY336" s="5">
        <v>-0.35362460168912302</v>
      </c>
      <c r="GZ336" s="5">
        <v>-0.19548665615053001</v>
      </c>
      <c r="HA336" s="5">
        <v>0.30278559568471503</v>
      </c>
      <c r="HB336" s="5">
        <v>0.239172702425585</v>
      </c>
      <c r="HC336" s="5">
        <v>3.2586895706451603E-2</v>
      </c>
      <c r="HD336" s="5">
        <v>0.280519670329898</v>
      </c>
      <c r="HE336" s="5">
        <v>0.170944251444583</v>
      </c>
      <c r="HF336" s="5">
        <v>7.5370321674502194E-2</v>
      </c>
      <c r="HG336" s="5">
        <v>-2.51604824420327E-2</v>
      </c>
      <c r="HH336" s="5">
        <v>-2.1927964374313601E-3</v>
      </c>
      <c r="HI336" s="5">
        <v>0.215054775164503</v>
      </c>
      <c r="HJ336" s="5">
        <v>7.0642552515697496E-2</v>
      </c>
      <c r="HK336" s="5">
        <v>-3.2112260553600003E-2</v>
      </c>
      <c r="HL336" s="5">
        <v>0.49414357129655301</v>
      </c>
      <c r="HM336" s="5">
        <v>-0.183838849473696</v>
      </c>
      <c r="HN336" s="5">
        <v>0.13582518678241201</v>
      </c>
      <c r="HO336" s="5">
        <v>0.11253087956789599</v>
      </c>
      <c r="HP336" s="5">
        <v>0.34467006055640598</v>
      </c>
      <c r="HQ336" s="5">
        <v>-4.8000091208319801E-2</v>
      </c>
      <c r="HR336" s="5">
        <v>0.51108252200468496</v>
      </c>
      <c r="HS336" s="5">
        <v>-0.23815537281811</v>
      </c>
      <c r="HT336" s="5">
        <v>0.17343535942364499</v>
      </c>
      <c r="HU336" s="5">
        <v>9.7470334541500503E-2</v>
      </c>
      <c r="HV336" s="5">
        <v>0.44640138317564099</v>
      </c>
      <c r="HW336" s="5">
        <v>-0.21546806483372999</v>
      </c>
      <c r="HX336" s="5">
        <v>0.40502871271899199</v>
      </c>
      <c r="HY336" s="5">
        <v>-0.16018083614033499</v>
      </c>
      <c r="HZ336" s="5">
        <v>-4.9458898389067897E-2</v>
      </c>
      <c r="IA336" s="5">
        <v>0.24761600626060801</v>
      </c>
      <c r="IB336" s="5">
        <v>-0.114897633471647</v>
      </c>
      <c r="IC336" s="5">
        <v>0.123875579083546</v>
      </c>
      <c r="ID336" s="5">
        <v>0.30902411793909201</v>
      </c>
      <c r="IE336" s="5">
        <v>1.7881831033455801E-2</v>
      </c>
      <c r="IF336" s="5">
        <v>0.45025628238051102</v>
      </c>
      <c r="IG336" s="5">
        <v>-0.209072300640195</v>
      </c>
      <c r="IH336" s="5">
        <v>0.116805843970698</v>
      </c>
      <c r="II336" s="5">
        <v>5.00468319656252E-3</v>
      </c>
      <c r="IJ336" s="5">
        <v>0.21673785760808501</v>
      </c>
      <c r="IK336" s="5">
        <v>-0.118151640142467</v>
      </c>
      <c r="IL336" s="5">
        <v>0.44682841594426698</v>
      </c>
      <c r="IM336" s="5">
        <v>-0.17406858519451901</v>
      </c>
      <c r="IN336" s="5">
        <v>0.45905391169794302</v>
      </c>
      <c r="IO336" s="5">
        <v>-0.26191163997024097</v>
      </c>
      <c r="IP336" s="5">
        <v>0.25677165494883603</v>
      </c>
      <c r="IQ336" s="5">
        <v>0.122593734431962</v>
      </c>
      <c r="IR336" s="5">
        <v>0.123086749080414</v>
      </c>
      <c r="IS336" s="5">
        <v>0.13818197846158001</v>
      </c>
      <c r="IT336" s="5">
        <v>0.49115105382684099</v>
      </c>
      <c r="IU336" s="5">
        <v>-0.25638090633163402</v>
      </c>
      <c r="IV336" s="5">
        <v>0.276541229187379</v>
      </c>
      <c r="IW336" s="5">
        <v>-7.3687582894663997E-2</v>
      </c>
      <c r="IX336" s="5">
        <v>0.24082796729231701</v>
      </c>
      <c r="IY336" s="5">
        <v>-4.3915466687308703E-2</v>
      </c>
      <c r="IZ336" s="5">
        <v>2.32128645058126E-2</v>
      </c>
      <c r="JA336" s="5">
        <v>0.16282015130102201</v>
      </c>
      <c r="JB336" s="5">
        <v>1.43171409971661E-2</v>
      </c>
      <c r="JC336" s="5">
        <v>-5.8365953353887799E-2</v>
      </c>
      <c r="JD336" s="5">
        <v>0.34873515688937201</v>
      </c>
      <c r="JE336" s="5">
        <v>0.100835533262337</v>
      </c>
      <c r="JF336" s="5">
        <v>0.22785549383277501</v>
      </c>
      <c r="JG336" s="5">
        <v>-0.14340987295789501</v>
      </c>
      <c r="JH336" s="5">
        <v>0.25607885598316499</v>
      </c>
      <c r="JI336" s="5">
        <v>-7.8879913491112896E-2</v>
      </c>
      <c r="JJ336" s="5">
        <v>0.49836417442257502</v>
      </c>
      <c r="JK336" s="5">
        <v>-0.19954026195556601</v>
      </c>
      <c r="JL336" s="5">
        <v>0.42876449518926202</v>
      </c>
      <c r="JM336" s="5">
        <v>-9.4102411888441095E-2</v>
      </c>
      <c r="JN336" s="5">
        <v>0.183691768436506</v>
      </c>
      <c r="JO336" s="5">
        <v>3.2844512193936602E-2</v>
      </c>
      <c r="JP336" s="5">
        <v>0.47784126462271598</v>
      </c>
      <c r="JQ336" s="5">
        <v>-0.14746773757439899</v>
      </c>
      <c r="JR336" s="5">
        <v>0.378451293307139</v>
      </c>
      <c r="JS336" s="5">
        <v>-0.19480358903903899</v>
      </c>
      <c r="JT336" s="5">
        <v>0.35523781994546699</v>
      </c>
      <c r="JU336" s="5">
        <v>-0.255044514557771</v>
      </c>
      <c r="JV336" s="5">
        <v>0.34555904113285901</v>
      </c>
      <c r="JW336" s="5">
        <v>-7.8516359786303197E-2</v>
      </c>
      <c r="JX336" s="5">
        <v>3.1141432056653699E-2</v>
      </c>
      <c r="JY336" s="5">
        <v>9.1002078497617003E-2</v>
      </c>
      <c r="JZ336" s="5">
        <v>0.13483037669963099</v>
      </c>
      <c r="KA336" s="5">
        <v>1.7100664536159702E-2</v>
      </c>
      <c r="KB336" s="5">
        <v>-4.6306095694912099E-2</v>
      </c>
      <c r="KC336" s="5">
        <v>0.194610683153917</v>
      </c>
      <c r="KD336" s="5">
        <v>0.35178065022272398</v>
      </c>
      <c r="KE336" s="5">
        <v>-6.1681697006825499E-2</v>
      </c>
      <c r="KF336" s="5">
        <v>0.42231319142041102</v>
      </c>
      <c r="KG336" s="5">
        <v>-0.20590596782628401</v>
      </c>
      <c r="KH336" s="5">
        <v>0.81747907083845295</v>
      </c>
      <c r="KI336" s="5">
        <v>-0.56928838316456298</v>
      </c>
      <c r="KJ336" s="5">
        <v>0.54901088514546503</v>
      </c>
      <c r="KK336" s="5">
        <v>-0.28786004341496502</v>
      </c>
      <c r="KL336" s="5">
        <v>0.25268677206500101</v>
      </c>
      <c r="KM336" s="5">
        <v>-4.5948497863228299E-2</v>
      </c>
      <c r="KN336" s="5">
        <v>3.8481773286793898E-2</v>
      </c>
      <c r="KO336" s="5">
        <v>0.18854882237131301</v>
      </c>
      <c r="KP336" s="5">
        <v>-0.20722159398385001</v>
      </c>
      <c r="KQ336" s="5">
        <v>0.14596050461343599</v>
      </c>
      <c r="KR336" s="5">
        <v>0.33057000806216902</v>
      </c>
      <c r="KS336" s="5">
        <v>-1.35338642954272E-2</v>
      </c>
      <c r="KT336" s="5">
        <v>0.65041666065715298</v>
      </c>
      <c r="KU336" s="5">
        <v>-0.41205696378036499</v>
      </c>
      <c r="KV336" s="5">
        <v>0.39822346076374299</v>
      </c>
      <c r="KW336" s="5">
        <v>-0.15576585360061301</v>
      </c>
      <c r="KX336" s="5">
        <v>0.39943376048038198</v>
      </c>
      <c r="KY336" s="5">
        <v>-0.123333403543519</v>
      </c>
      <c r="KZ336" s="5">
        <v>0.116083728657117</v>
      </c>
      <c r="LA336" s="5">
        <v>7.2607514035461895E-2</v>
      </c>
      <c r="LB336" s="5">
        <v>0.38529536874985498</v>
      </c>
      <c r="LC336" s="5">
        <v>-0.131291900398779</v>
      </c>
      <c r="LD336" s="5">
        <v>0.28673595448058198</v>
      </c>
      <c r="LE336" s="5">
        <v>-4.43199162399859E-2</v>
      </c>
      <c r="LF336" s="5">
        <v>0.198714801501782</v>
      </c>
      <c r="LG336" s="5">
        <v>0.10983015886755999</v>
      </c>
      <c r="LH336" s="5">
        <v>0.37803742866172102</v>
      </c>
      <c r="LI336" s="5">
        <v>-0.13624582765763699</v>
      </c>
      <c r="LJ336" s="5">
        <v>0.19582088035697301</v>
      </c>
      <c r="LK336" s="5">
        <v>8.1250198737971902E-2</v>
      </c>
      <c r="LL336" s="5">
        <v>0.19641019749127001</v>
      </c>
      <c r="LM336" s="5">
        <v>2.0869101061549E-3</v>
      </c>
      <c r="LN336" s="5">
        <v>0.21842511586764601</v>
      </c>
      <c r="LO336" s="5">
        <v>-5.0746598446335903E-2</v>
      </c>
      <c r="LP336" s="5">
        <v>0.30234079682375298</v>
      </c>
      <c r="LQ336" s="5">
        <v>-0.112240314903284</v>
      </c>
      <c r="LR336" s="5">
        <v>-6.2663710984486296E-2</v>
      </c>
      <c r="LS336" s="5">
        <v>0.19412921323823101</v>
      </c>
      <c r="LT336" s="5">
        <v>-2.20157646765799E-2</v>
      </c>
      <c r="LU336" s="5">
        <v>0.227878640761321</v>
      </c>
      <c r="LV336" s="5">
        <v>4.4072569607993002E-2</v>
      </c>
      <c r="LW336" s="5">
        <v>-6.7805363040712899E-2</v>
      </c>
      <c r="LX336" s="5">
        <v>1</v>
      </c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</row>
    <row r="337" spans="1:389" x14ac:dyDescent="0.45">
      <c r="A337" s="4" t="str">
        <f ca="1">"SYR / beta2dist in "&amp;CELL("address",'damages-1990'!$K$169)</f>
        <v>SYR / beta2dist in '[BHM betas v3pd.xlsx]damages-1990'!$K$169</v>
      </c>
      <c r="B337" s="6">
        <v>-0.14875150661210601</v>
      </c>
      <c r="C337" s="5">
        <v>0.21320861955553</v>
      </c>
      <c r="D337" s="5">
        <v>9.7233250486259096E-2</v>
      </c>
      <c r="E337" s="5">
        <v>3.4082627103275902E-3</v>
      </c>
      <c r="F337" s="5">
        <v>-0.15838174456916801</v>
      </c>
      <c r="G337" s="5">
        <v>0.219143300305226</v>
      </c>
      <c r="H337" s="5">
        <v>4.6160981968498799E-2</v>
      </c>
      <c r="I337" s="5">
        <v>-0.150907230999618</v>
      </c>
      <c r="J337" s="5">
        <v>-0.19691912955058799</v>
      </c>
      <c r="K337" s="5">
        <v>0.359859319206081</v>
      </c>
      <c r="L337" s="5">
        <v>-0.14684419292609599</v>
      </c>
      <c r="M337" s="5">
        <v>0.22590032225479501</v>
      </c>
      <c r="N337" s="5">
        <v>0.30775064396471602</v>
      </c>
      <c r="O337" s="5">
        <v>-0.505715492306266</v>
      </c>
      <c r="P337" s="5">
        <v>0.20862341276072899</v>
      </c>
      <c r="Q337" s="5">
        <v>-8.2424805734071904E-2</v>
      </c>
      <c r="R337" s="5">
        <v>-8.20029149654289E-2</v>
      </c>
      <c r="S337" s="5">
        <v>0.18561235950052399</v>
      </c>
      <c r="T337" s="5">
        <v>0.16212669293349199</v>
      </c>
      <c r="U337" s="5">
        <v>-0.24201276407678499</v>
      </c>
      <c r="V337" s="5">
        <v>-0.182929324983575</v>
      </c>
      <c r="W337" s="5">
        <v>0.20235809991991199</v>
      </c>
      <c r="X337" s="5">
        <v>6.1410229332213698E-2</v>
      </c>
      <c r="Y337" s="5">
        <v>2.9888137545069301E-2</v>
      </c>
      <c r="Z337" s="5">
        <v>6.6727129335746205E-2</v>
      </c>
      <c r="AA337" s="5">
        <v>-0.124414401039905</v>
      </c>
      <c r="AB337" s="5">
        <v>4.1546584603229103E-2</v>
      </c>
      <c r="AC337" s="5">
        <v>5.99037371884239E-2</v>
      </c>
      <c r="AD337" s="5">
        <v>-0.124973989173199</v>
      </c>
      <c r="AE337" s="5">
        <v>0.202548332762199</v>
      </c>
      <c r="AF337" s="5">
        <v>2.28351456835597E-2</v>
      </c>
      <c r="AG337" s="5">
        <v>7.2328607216012406E-2</v>
      </c>
      <c r="AH337" s="5">
        <v>-6.8766636347954102E-2</v>
      </c>
      <c r="AI337" s="5">
        <v>7.26627584259006E-2</v>
      </c>
      <c r="AJ337" s="5">
        <v>-0.25610925972739002</v>
      </c>
      <c r="AK337" s="5">
        <v>0.42454412124034302</v>
      </c>
      <c r="AL337" s="5">
        <v>0.18669290906727201</v>
      </c>
      <c r="AM337" s="5">
        <v>-0.147164296634296</v>
      </c>
      <c r="AN337" s="5">
        <v>8.2212038166707399E-2</v>
      </c>
      <c r="AO337" s="5">
        <v>-0.13635786435188299</v>
      </c>
      <c r="AP337" s="5">
        <v>-0.211375439607351</v>
      </c>
      <c r="AQ337" s="5">
        <v>0.21690479638131699</v>
      </c>
      <c r="AR337" s="5">
        <v>9.3266381356421693E-2</v>
      </c>
      <c r="AS337" s="5">
        <v>-1.7692853622623999E-2</v>
      </c>
      <c r="AT337" s="5">
        <v>0.18437963509320701</v>
      </c>
      <c r="AU337" s="5">
        <v>-0.17725249501586299</v>
      </c>
      <c r="AV337" s="5">
        <v>-3.6261735093452402E-2</v>
      </c>
      <c r="AW337" s="5">
        <v>0.159331889928298</v>
      </c>
      <c r="AX337" s="5">
        <v>4.0193712436263802E-2</v>
      </c>
      <c r="AY337" s="5">
        <v>3.3764214986257403E-2</v>
      </c>
      <c r="AZ337" s="5">
        <v>0.12975642243668301</v>
      </c>
      <c r="BA337" s="5">
        <v>2.4972901200212502E-2</v>
      </c>
      <c r="BB337" s="5">
        <v>-0.10222726803118801</v>
      </c>
      <c r="BC337" s="5">
        <v>0.24778961504834399</v>
      </c>
      <c r="BD337" s="5">
        <v>-0.147206346047833</v>
      </c>
      <c r="BE337" s="5">
        <v>0.20300563593847901</v>
      </c>
      <c r="BF337" s="5">
        <v>0.14873358554663699</v>
      </c>
      <c r="BG337" s="5">
        <v>-9.5308472860033203E-2</v>
      </c>
      <c r="BH337" s="5">
        <v>5.04616859284025E-2</v>
      </c>
      <c r="BI337" s="5">
        <v>7.6123181620546904E-2</v>
      </c>
      <c r="BJ337" s="5">
        <v>-2.8549315166896801E-2</v>
      </c>
      <c r="BK337" s="5">
        <v>-0.118282970032327</v>
      </c>
      <c r="BL337" s="5">
        <v>0.17458133363436301</v>
      </c>
      <c r="BM337" s="5">
        <v>-0.28584616551019398</v>
      </c>
      <c r="BN337" s="5">
        <v>-7.3295803322626502E-2</v>
      </c>
      <c r="BO337" s="5">
        <v>1.0382338369193399E-2</v>
      </c>
      <c r="BP337" s="5">
        <v>-0.13568018294745501</v>
      </c>
      <c r="BQ337" s="5">
        <v>9.9995361403267494E-2</v>
      </c>
      <c r="BR337" s="5">
        <v>-0.131361573477904</v>
      </c>
      <c r="BS337" s="5">
        <v>0.20724936279027201</v>
      </c>
      <c r="BT337" s="5">
        <v>-3.8371115038194299E-2</v>
      </c>
      <c r="BU337" s="5">
        <v>0.18750401840080699</v>
      </c>
      <c r="BV337" s="5">
        <v>-4.3951578382361002E-2</v>
      </c>
      <c r="BW337" s="5">
        <v>0.17460720101146099</v>
      </c>
      <c r="BX337" s="5">
        <v>-5.2538328118154502E-2</v>
      </c>
      <c r="BY337" s="5">
        <v>0.176884685768425</v>
      </c>
      <c r="BZ337" s="5">
        <v>-6.7798836615817704E-2</v>
      </c>
      <c r="CA337" s="5">
        <v>0.132376217614363</v>
      </c>
      <c r="CB337" s="5">
        <v>0.13522113950930001</v>
      </c>
      <c r="CC337" s="5">
        <v>-1.1589231022748401E-2</v>
      </c>
      <c r="CD337" s="5">
        <v>0.186630101313848</v>
      </c>
      <c r="CE337" s="5">
        <v>-0.13840186239080399</v>
      </c>
      <c r="CF337" s="5">
        <v>0.174759583418368</v>
      </c>
      <c r="CG337" s="5">
        <v>-9.62799208122707E-2</v>
      </c>
      <c r="CH337" s="5">
        <v>0.25903258395829998</v>
      </c>
      <c r="CI337" s="5">
        <v>-0.24221112114902299</v>
      </c>
      <c r="CJ337" s="5">
        <v>-0.497300611532696</v>
      </c>
      <c r="CK337" s="5">
        <v>0.66251760435055695</v>
      </c>
      <c r="CL337" s="5">
        <v>8.6008626635097105E-2</v>
      </c>
      <c r="CM337" s="5">
        <v>-0.14904795123547901</v>
      </c>
      <c r="CN337" s="5">
        <v>3.8926432234592301E-2</v>
      </c>
      <c r="CO337" s="5">
        <v>-9.7762977376907395E-2</v>
      </c>
      <c r="CP337" s="5">
        <v>-0.20074482738385599</v>
      </c>
      <c r="CQ337" s="5">
        <v>0.262248024261451</v>
      </c>
      <c r="CR337" s="5">
        <v>0.18520285134768399</v>
      </c>
      <c r="CS337" s="5">
        <v>-4.5821628572002601E-2</v>
      </c>
      <c r="CT337" s="5">
        <v>-6.9701988574549498E-2</v>
      </c>
      <c r="CU337" s="5">
        <v>4.7744141878408503E-2</v>
      </c>
      <c r="CV337" s="5">
        <v>8.1567165136311598E-2</v>
      </c>
      <c r="CW337" s="5">
        <v>3.25457290277084E-2</v>
      </c>
      <c r="CX337" s="5">
        <v>-0.27142626250257901</v>
      </c>
      <c r="CY337" s="5">
        <v>0.40694668686887098</v>
      </c>
      <c r="CZ337" s="5">
        <v>6.1957058131469601E-2</v>
      </c>
      <c r="DA337" s="5">
        <v>-4.8612074247472901E-2</v>
      </c>
      <c r="DB337" s="5">
        <v>-0.31105272706814002</v>
      </c>
      <c r="DC337" s="5">
        <v>0.52308469284492498</v>
      </c>
      <c r="DD337" s="5">
        <v>-0.178549525934488</v>
      </c>
      <c r="DE337" s="5">
        <v>0.25257442812584202</v>
      </c>
      <c r="DF337" s="5">
        <v>4.1645131221738303E-2</v>
      </c>
      <c r="DG337" s="5">
        <v>3.8637994442464602E-2</v>
      </c>
      <c r="DH337" s="5">
        <v>-0.110587935539378</v>
      </c>
      <c r="DI337" s="5">
        <v>0.19182007918278399</v>
      </c>
      <c r="DJ337" s="5">
        <v>-0.269690883027569</v>
      </c>
      <c r="DK337" s="5">
        <v>0.27582507950299601</v>
      </c>
      <c r="DL337" s="5">
        <v>-7.1858731985287496E-3</v>
      </c>
      <c r="DM337" s="5">
        <v>0.14416518167409401</v>
      </c>
      <c r="DN337" s="5">
        <v>-0.24032878553620499</v>
      </c>
      <c r="DO337" s="5">
        <v>0.24112522372478601</v>
      </c>
      <c r="DP337" s="5">
        <v>-0.112516816662161</v>
      </c>
      <c r="DQ337" s="5">
        <v>0.167911901737643</v>
      </c>
      <c r="DR337" s="5">
        <v>-6.9336722497779103E-3</v>
      </c>
      <c r="DS337" s="5">
        <v>-2.3479860688549702E-2</v>
      </c>
      <c r="DT337" s="5">
        <v>-0.24959806614134</v>
      </c>
      <c r="DU337" s="5">
        <v>0.30611016202971397</v>
      </c>
      <c r="DV337" s="5">
        <v>-7.2472404047967702E-3</v>
      </c>
      <c r="DW337" s="5">
        <v>8.5584065082965094E-2</v>
      </c>
      <c r="DX337" s="5">
        <v>-8.5924579364491299E-2</v>
      </c>
      <c r="DY337" s="5">
        <v>7.6869987740107601E-2</v>
      </c>
      <c r="DZ337" s="5">
        <v>0.24704430070617001</v>
      </c>
      <c r="EA337" s="5">
        <v>-0.44269140418264402</v>
      </c>
      <c r="EB337" s="5">
        <v>-6.2961562358690201E-2</v>
      </c>
      <c r="EC337" s="5">
        <v>0.16279519628022299</v>
      </c>
      <c r="ED337" s="5">
        <v>-7.0147348963864903E-2</v>
      </c>
      <c r="EE337" s="5">
        <v>0.16329919654175401</v>
      </c>
      <c r="EF337" s="5">
        <v>0.18959019821464701</v>
      </c>
      <c r="EG337" s="5">
        <v>-6.1820612033080799E-2</v>
      </c>
      <c r="EH337" s="5">
        <v>-5.1152789554122599E-2</v>
      </c>
      <c r="EI337" s="5">
        <v>0.156798239666748</v>
      </c>
      <c r="EJ337" s="5">
        <v>-0.10084148775130999</v>
      </c>
      <c r="EK337" s="5">
        <v>0.181451738703995</v>
      </c>
      <c r="EL337" s="5">
        <v>-5.5192147327011599E-3</v>
      </c>
      <c r="EM337" s="5">
        <v>0.13228362886954001</v>
      </c>
      <c r="EN337" s="5">
        <v>-0.41127109381247301</v>
      </c>
      <c r="EO337" s="5">
        <v>0.51812605363221498</v>
      </c>
      <c r="EP337" s="5">
        <v>0.14160199906170801</v>
      </c>
      <c r="EQ337" s="5">
        <v>1.7166668817875601E-4</v>
      </c>
      <c r="ER337" s="5">
        <v>8.5409695334804095E-2</v>
      </c>
      <c r="ES337" s="5">
        <v>-2.8331944240069101E-2</v>
      </c>
      <c r="ET337" s="5">
        <v>0.33593246556791501</v>
      </c>
      <c r="EU337" s="5">
        <v>-0.26941505263304</v>
      </c>
      <c r="EV337" s="5">
        <v>0.102908217786338</v>
      </c>
      <c r="EW337" s="5">
        <v>2.6881102776040802E-2</v>
      </c>
      <c r="EX337" s="5">
        <v>0.31523509125528898</v>
      </c>
      <c r="EY337" s="5">
        <v>-0.24929950605902701</v>
      </c>
      <c r="EZ337" s="5">
        <v>5.3789340706671698E-2</v>
      </c>
      <c r="FA337" s="5">
        <v>7.69062652715298E-2</v>
      </c>
      <c r="FB337" s="5">
        <v>-9.7901320649675799E-3</v>
      </c>
      <c r="FC337" s="5">
        <v>1.94818695771216E-3</v>
      </c>
      <c r="FD337" s="5">
        <v>0.114810865554984</v>
      </c>
      <c r="FE337" s="5">
        <v>-3.6327933481684199E-3</v>
      </c>
      <c r="FF337" s="5">
        <v>-2.0259376430078298E-2</v>
      </c>
      <c r="FG337" s="5">
        <v>1.23407548494652E-2</v>
      </c>
      <c r="FH337" s="5">
        <v>-7.2412202180983497E-3</v>
      </c>
      <c r="FI337" s="5">
        <v>0.167684126615739</v>
      </c>
      <c r="FJ337" s="5">
        <v>0.15173000847047</v>
      </c>
      <c r="FK337" s="5">
        <v>-8.2543795268730805E-2</v>
      </c>
      <c r="FL337" s="5">
        <v>-0.14498773659528599</v>
      </c>
      <c r="FM337" s="5">
        <v>0.15305535247891</v>
      </c>
      <c r="FN337" s="5">
        <v>-0.32509222280912498</v>
      </c>
      <c r="FO337" s="5">
        <v>0.46159897385482801</v>
      </c>
      <c r="FP337" s="5">
        <v>-0.53041491116453798</v>
      </c>
      <c r="FQ337" s="5">
        <v>0.76384947956509897</v>
      </c>
      <c r="FR337" s="5">
        <v>-9.1503766198157907E-3</v>
      </c>
      <c r="FS337" s="5">
        <v>8.0000457473959494E-2</v>
      </c>
      <c r="FT337" s="5">
        <v>-0.51737171777750302</v>
      </c>
      <c r="FU337" s="5">
        <v>0.77835159978997603</v>
      </c>
      <c r="FV337" s="5">
        <v>-0.11503725060650601</v>
      </c>
      <c r="FW337" s="5">
        <v>0.197703912933612</v>
      </c>
      <c r="FX337" s="5">
        <v>0.10684159149200299</v>
      </c>
      <c r="FY337" s="5">
        <v>-6.1485505450388899E-3</v>
      </c>
      <c r="FZ337" s="5">
        <v>-0.50152994624755398</v>
      </c>
      <c r="GA337" s="5">
        <v>0.78160180856139705</v>
      </c>
      <c r="GB337" s="5">
        <v>-5.4768131289337003E-2</v>
      </c>
      <c r="GC337" s="5">
        <v>4.2782033916184403E-2</v>
      </c>
      <c r="GD337" s="5">
        <v>-6.3713095453468899E-2</v>
      </c>
      <c r="GE337" s="5">
        <v>2.6113401564517899E-2</v>
      </c>
      <c r="GF337" s="5">
        <v>0.18048602021105301</v>
      </c>
      <c r="GG337" s="5">
        <v>-6.6699475959140303E-2</v>
      </c>
      <c r="GH337" s="5">
        <v>6.0972989711078E-2</v>
      </c>
      <c r="GI337" s="5">
        <v>-0.178340575012196</v>
      </c>
      <c r="GJ337" s="5">
        <v>0.22849148023371799</v>
      </c>
      <c r="GK337" s="5">
        <v>-0.144939366232051</v>
      </c>
      <c r="GL337" s="5">
        <v>0.106901688533676</v>
      </c>
      <c r="GM337" s="5">
        <v>3.1064204429720601E-2</v>
      </c>
      <c r="GN337" s="5">
        <v>-9.0076515526828493E-2</v>
      </c>
      <c r="GO337" s="5">
        <v>0.14063169225630201</v>
      </c>
      <c r="GP337" s="5">
        <v>-0.34089415361067299</v>
      </c>
      <c r="GQ337" s="5">
        <v>0.545366259617029</v>
      </c>
      <c r="GR337" s="5">
        <v>9.7334736610385594E-2</v>
      </c>
      <c r="GS337" s="5">
        <v>5.8817916554823498E-2</v>
      </c>
      <c r="GT337" s="5">
        <v>-0.54767966097573395</v>
      </c>
      <c r="GU337" s="5">
        <v>0.77974296555015998</v>
      </c>
      <c r="GV337" s="5">
        <v>7.6031665193227696E-2</v>
      </c>
      <c r="GW337" s="5">
        <v>-2.0503303924710899E-2</v>
      </c>
      <c r="GX337" s="5">
        <v>-0.28014106376467302</v>
      </c>
      <c r="GY337" s="5">
        <v>0.43397802921842199</v>
      </c>
      <c r="GZ337" s="5">
        <v>0.169664553033951</v>
      </c>
      <c r="HA337" s="5">
        <v>-0.27300397899235901</v>
      </c>
      <c r="HB337" s="5">
        <v>0.202193913998054</v>
      </c>
      <c r="HC337" s="5">
        <v>-0.156610412373719</v>
      </c>
      <c r="HD337" s="5">
        <v>-4.0717247651373301E-2</v>
      </c>
      <c r="HE337" s="5">
        <v>-7.7989739728023802E-3</v>
      </c>
      <c r="HF337" s="5">
        <v>-0.227888751325551</v>
      </c>
      <c r="HG337" s="5">
        <v>0.23617369940184399</v>
      </c>
      <c r="HH337" s="5">
        <v>7.2824431647450394E-2</v>
      </c>
      <c r="HI337" s="5">
        <v>-0.14419876734322401</v>
      </c>
      <c r="HJ337" s="5">
        <v>-0.240885964742037</v>
      </c>
      <c r="HK337" s="5">
        <v>0.241950552507703</v>
      </c>
      <c r="HL337" s="5">
        <v>-0.119406946316824</v>
      </c>
      <c r="HM337" s="5">
        <v>0.21882827144452599</v>
      </c>
      <c r="HN337" s="5">
        <v>-4.4461277074269598E-2</v>
      </c>
      <c r="HO337" s="5">
        <v>2.3807005483896301E-2</v>
      </c>
      <c r="HP337" s="5">
        <v>1.46269791503826E-2</v>
      </c>
      <c r="HQ337" s="5">
        <v>0.12598132228871101</v>
      </c>
      <c r="HR337" s="5">
        <v>-2.02729039186158E-2</v>
      </c>
      <c r="HS337" s="5">
        <v>0.13434244757802699</v>
      </c>
      <c r="HT337" s="5">
        <v>-4.9526661607505802E-2</v>
      </c>
      <c r="HU337" s="5">
        <v>5.0418689279785302E-2</v>
      </c>
      <c r="HV337" s="5">
        <v>-0.187785020739729</v>
      </c>
      <c r="HW337" s="5">
        <v>0.31685248708281899</v>
      </c>
      <c r="HX337" s="5">
        <v>-3.8115887998431E-3</v>
      </c>
      <c r="HY337" s="5">
        <v>0.155959396135745</v>
      </c>
      <c r="HZ337" s="5">
        <v>0.106943302349811</v>
      </c>
      <c r="IA337" s="5">
        <v>-0.177924686071258</v>
      </c>
      <c r="IB337" s="5">
        <v>-6.4237959267688396E-2</v>
      </c>
      <c r="IC337" s="5">
        <v>1.04431085111889E-2</v>
      </c>
      <c r="ID337" s="5">
        <v>8.2696613301470004E-2</v>
      </c>
      <c r="IE337" s="5">
        <v>2.16069565481849E-2</v>
      </c>
      <c r="IF337" s="5">
        <v>-0.13398090399318199</v>
      </c>
      <c r="IG337" s="5">
        <v>0.28170057119126601</v>
      </c>
      <c r="IH337" s="5">
        <v>0.17264049369811801</v>
      </c>
      <c r="II337" s="5">
        <v>-2.7255597717126E-2</v>
      </c>
      <c r="IJ337" s="5">
        <v>3.4867838007819098E-2</v>
      </c>
      <c r="IK337" s="5">
        <v>4.1513948887184703E-2</v>
      </c>
      <c r="IL337" s="5">
        <v>-8.4854246526432003E-2</v>
      </c>
      <c r="IM337" s="5">
        <v>0.25186531510167798</v>
      </c>
      <c r="IN337" s="5">
        <v>-3.9694634075759197E-2</v>
      </c>
      <c r="IO337" s="5">
        <v>0.222900764771227</v>
      </c>
      <c r="IP337" s="5">
        <v>0.18320640269524899</v>
      </c>
      <c r="IQ337" s="5">
        <v>-0.17165113984431399</v>
      </c>
      <c r="IR337" s="5">
        <v>0.14839827872986799</v>
      </c>
      <c r="IS337" s="5">
        <v>-0.163276000473733</v>
      </c>
      <c r="IT337" s="5">
        <v>-0.198491436426975</v>
      </c>
      <c r="IU337" s="5">
        <v>0.33997141405284897</v>
      </c>
      <c r="IV337" s="5">
        <v>-5.6646301400505E-2</v>
      </c>
      <c r="IW337" s="5">
        <v>0.17248763519152299</v>
      </c>
      <c r="IX337" s="5">
        <v>6.9068990046249806E-2</v>
      </c>
      <c r="IY337" s="5">
        <v>6.3008426777256404E-2</v>
      </c>
      <c r="IZ337" s="5">
        <v>7.0112008888408295E-2</v>
      </c>
      <c r="JA337" s="5">
        <v>-0.116359680369112</v>
      </c>
      <c r="JB337" s="5">
        <v>-0.222829332409754</v>
      </c>
      <c r="JC337" s="5">
        <v>0.23042336097135699</v>
      </c>
      <c r="JD337" s="5">
        <v>-4.1668414841038497E-2</v>
      </c>
      <c r="JE337" s="5">
        <v>5.15155487198828E-2</v>
      </c>
      <c r="JF337" s="5">
        <v>1.0293424113135099E-2</v>
      </c>
      <c r="JG337" s="5">
        <v>0.10057207754064799</v>
      </c>
      <c r="JH337" s="5">
        <v>-9.6021780002349705E-2</v>
      </c>
      <c r="JI337" s="5">
        <v>9.7068766948932406E-2</v>
      </c>
      <c r="JJ337" s="5">
        <v>-9.6363734773191906E-2</v>
      </c>
      <c r="JK337" s="5">
        <v>0.26717112296554701</v>
      </c>
      <c r="JL337" s="5">
        <v>-5.1430675631438702E-2</v>
      </c>
      <c r="JM337" s="5">
        <v>0.162292356134247</v>
      </c>
      <c r="JN337" s="5">
        <v>0.13881589049579199</v>
      </c>
      <c r="JO337" s="5">
        <v>-7.3371776425575103E-2</v>
      </c>
      <c r="JP337" s="5">
        <v>-2.3374362523667098E-2</v>
      </c>
      <c r="JQ337" s="5">
        <v>9.9984665795320393E-2</v>
      </c>
      <c r="JR337" s="5">
        <v>-5.2648787010827099E-2</v>
      </c>
      <c r="JS337" s="5">
        <v>0.29038674138063503</v>
      </c>
      <c r="JT337" s="5">
        <v>-0.226642842724562</v>
      </c>
      <c r="JU337" s="5">
        <v>0.39355391319205701</v>
      </c>
      <c r="JV337" s="5">
        <v>8.5970324828865394E-2</v>
      </c>
      <c r="JW337" s="5">
        <v>3.00546901329093E-2</v>
      </c>
      <c r="JX337" s="5">
        <v>-6.6914499586894993E-2</v>
      </c>
      <c r="JY337" s="5">
        <v>4.7592347718995197E-2</v>
      </c>
      <c r="JZ337" s="5">
        <v>7.69261123555917E-2</v>
      </c>
      <c r="KA337" s="5">
        <v>3.7465343452362597E-2</v>
      </c>
      <c r="KB337" s="5">
        <v>-8.5454966569689803E-2</v>
      </c>
      <c r="KC337" s="5">
        <v>-8.0277190239221204E-3</v>
      </c>
      <c r="KD337" s="5">
        <v>-1.20217340438736E-2</v>
      </c>
      <c r="KE337" s="5">
        <v>9.0419084141758393E-2</v>
      </c>
      <c r="KF337" s="5">
        <v>-0.114011047394253</v>
      </c>
      <c r="KG337" s="5">
        <v>0.17124160341537301</v>
      </c>
      <c r="KH337" s="5">
        <v>-0.54694173904803201</v>
      </c>
      <c r="KI337" s="5">
        <v>0.78699708281709801</v>
      </c>
      <c r="KJ337" s="5">
        <v>-0.23416782610093301</v>
      </c>
      <c r="KK337" s="5">
        <v>0.39870452119347499</v>
      </c>
      <c r="KL337" s="5">
        <v>0.116140443345257</v>
      </c>
      <c r="KM337" s="5">
        <v>-7.0594071704479303E-2</v>
      </c>
      <c r="KN337" s="5">
        <v>2.6936539940584502E-2</v>
      </c>
      <c r="KO337" s="5">
        <v>-6.9156699551946907E-2</v>
      </c>
      <c r="KP337" s="5">
        <v>-7.2681202244503404E-2</v>
      </c>
      <c r="KQ337" s="5">
        <v>6.19820744188068E-2</v>
      </c>
      <c r="KR337" s="5">
        <v>5.9595143578643497E-2</v>
      </c>
      <c r="KS337" s="5">
        <v>7.5370993929959502E-3</v>
      </c>
      <c r="KT337" s="5">
        <v>-0.28438042225134302</v>
      </c>
      <c r="KU337" s="5">
        <v>0.49419174732573301</v>
      </c>
      <c r="KV337" s="5">
        <v>-4.1125274011493698E-2</v>
      </c>
      <c r="KW337" s="5">
        <v>0.19188748737383801</v>
      </c>
      <c r="KX337" s="5">
        <v>-7.0744775717208594E-2</v>
      </c>
      <c r="KY337" s="5">
        <v>0.17579323726451501</v>
      </c>
      <c r="KZ337" s="5">
        <v>0.19545526258517801</v>
      </c>
      <c r="LA337" s="5">
        <v>-0.15402719327134001</v>
      </c>
      <c r="LB337" s="5">
        <v>4.1028751950949599E-2</v>
      </c>
      <c r="LC337" s="5">
        <v>6.1487051919351797E-2</v>
      </c>
      <c r="LD337" s="5">
        <v>6.2500444385429496E-2</v>
      </c>
      <c r="LE337" s="5">
        <v>2.7950164840000902E-2</v>
      </c>
      <c r="LF337" s="5">
        <v>-7.1895623402355897E-3</v>
      </c>
      <c r="LG337" s="5">
        <v>-1.20274970934823E-2</v>
      </c>
      <c r="LH337" s="5">
        <v>3.8756889323156803E-2</v>
      </c>
      <c r="LI337" s="5">
        <v>0.115888331577501</v>
      </c>
      <c r="LJ337" s="5">
        <v>-5.6887153200927201E-2</v>
      </c>
      <c r="LK337" s="5">
        <v>6.9177920928829698E-2</v>
      </c>
      <c r="LL337" s="5">
        <v>0.19351646935533201</v>
      </c>
      <c r="LM337" s="5">
        <v>-5.0023042948701801E-2</v>
      </c>
      <c r="LN337" s="5">
        <v>0.110265274346588</v>
      </c>
      <c r="LO337" s="5">
        <v>2.7851041036814399E-2</v>
      </c>
      <c r="LP337" s="5">
        <v>0.103071288272131</v>
      </c>
      <c r="LQ337" s="5">
        <v>-4.1220885978995703E-5</v>
      </c>
      <c r="LR337" s="5">
        <v>6.2578411167319506E-2</v>
      </c>
      <c r="LS337" s="5">
        <v>-0.113252783607161</v>
      </c>
      <c r="LT337" s="5">
        <v>0.103722021643506</v>
      </c>
      <c r="LU337" s="5">
        <v>-0.16164547429898099</v>
      </c>
      <c r="LV337" s="5">
        <v>-0.24665538718705601</v>
      </c>
      <c r="LW337" s="5">
        <v>0.243653615558033</v>
      </c>
      <c r="LX337" s="5">
        <v>-0.76731708429810397</v>
      </c>
      <c r="LY337" s="5">
        <v>1</v>
      </c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</row>
    <row r="338" spans="1:389" x14ac:dyDescent="0.45">
      <c r="A338" s="4" t="str">
        <f ca="1">"TCD / beta1dist in "&amp;CELL("address",'damages-1990'!$J$170)</f>
        <v>TCD / beta1dist in '[BHM betas v3pd.xlsx]damages-1990'!$J$170</v>
      </c>
      <c r="B338" s="6">
        <v>0.27472519884410102</v>
      </c>
      <c r="C338" s="5">
        <v>5.6930700206051399E-2</v>
      </c>
      <c r="D338" s="5">
        <v>0.53081641212166897</v>
      </c>
      <c r="E338" s="5">
        <v>-0.16346250543100799</v>
      </c>
      <c r="F338" s="5">
        <v>0.12903814484651699</v>
      </c>
      <c r="G338" s="5">
        <v>0.117103698113193</v>
      </c>
      <c r="H338" s="5">
        <v>-3.6552955010631702E-2</v>
      </c>
      <c r="I338" s="5">
        <v>-1.4571909283341599E-2</v>
      </c>
      <c r="J338" s="5">
        <v>0.57610605429633199</v>
      </c>
      <c r="K338" s="5">
        <v>-0.23946331285287101</v>
      </c>
      <c r="L338" s="5">
        <v>0.39747334890352998</v>
      </c>
      <c r="M338" s="5">
        <v>-5.2408119020110902E-2</v>
      </c>
      <c r="N338" s="5">
        <v>-0.16199841759924399</v>
      </c>
      <c r="O338" s="5">
        <v>0.17915774615291899</v>
      </c>
      <c r="P338" s="5">
        <v>0.40180759428565299</v>
      </c>
      <c r="Q338" s="5">
        <v>-0.23909773286120001</v>
      </c>
      <c r="R338" s="5">
        <v>0.46934284687833899</v>
      </c>
      <c r="S338" s="5">
        <v>-0.13954350209333299</v>
      </c>
      <c r="T338" s="5">
        <v>7.3415615418843005E-2</v>
      </c>
      <c r="U338" s="5">
        <v>-0.106868523244717</v>
      </c>
      <c r="V338" s="5">
        <v>0.225128120751867</v>
      </c>
      <c r="W338" s="5">
        <v>0.14890081648099601</v>
      </c>
      <c r="X338" s="5">
        <v>0.50704294700438202</v>
      </c>
      <c r="Y338" s="5">
        <v>-0.14155239396028199</v>
      </c>
      <c r="Z338" s="5">
        <v>0.10368772715714999</v>
      </c>
      <c r="AA338" s="5">
        <v>-3.9043911295788103E-2</v>
      </c>
      <c r="AB338" s="5">
        <v>0.67897962955117297</v>
      </c>
      <c r="AC338" s="5">
        <v>-0.44376416181064698</v>
      </c>
      <c r="AD338" s="5">
        <v>0.785431906445065</v>
      </c>
      <c r="AE338" s="5">
        <v>-0.48394467179876099</v>
      </c>
      <c r="AF338" s="5">
        <v>0.43232243957171501</v>
      </c>
      <c r="AG338" s="5">
        <v>-0.18971748724010101</v>
      </c>
      <c r="AH338" s="5">
        <v>0.117417831016563</v>
      </c>
      <c r="AI338" s="5">
        <v>6.7801827158737102E-2</v>
      </c>
      <c r="AJ338" s="5">
        <v>0.519923615544304</v>
      </c>
      <c r="AK338" s="5">
        <v>-0.217113146524401</v>
      </c>
      <c r="AL338" s="5">
        <v>0.15667731174142099</v>
      </c>
      <c r="AM338" s="5">
        <v>4.8432485491998203E-2</v>
      </c>
      <c r="AN338" s="5">
        <v>5.7368593460020399E-2</v>
      </c>
      <c r="AO338" s="5">
        <v>3.2045551860647697E-2</v>
      </c>
      <c r="AP338" s="5">
        <v>-3.4472990762291301E-2</v>
      </c>
      <c r="AQ338" s="5">
        <v>1.79188215410029E-2</v>
      </c>
      <c r="AR338" s="5">
        <v>0.379266388058208</v>
      </c>
      <c r="AS338" s="5">
        <v>-0.107478448655895</v>
      </c>
      <c r="AT338" s="5">
        <v>8.8063150256649902E-2</v>
      </c>
      <c r="AU338" s="5">
        <v>0.10148004131947901</v>
      </c>
      <c r="AV338" s="5">
        <v>0.543877805371071</v>
      </c>
      <c r="AW338" s="5">
        <v>-0.28110361387323801</v>
      </c>
      <c r="AX338" s="5">
        <v>0.57129427130607402</v>
      </c>
      <c r="AY338" s="5">
        <v>-0.29050699964615601</v>
      </c>
      <c r="AZ338" s="5">
        <v>0.46952288747343401</v>
      </c>
      <c r="BA338" s="5">
        <v>-0.29425502670394099</v>
      </c>
      <c r="BB338" s="5">
        <v>0.52982562218203499</v>
      </c>
      <c r="BC338" s="5">
        <v>-0.19013378918086199</v>
      </c>
      <c r="BD338" s="5">
        <v>0.11140356036745901</v>
      </c>
      <c r="BE338" s="5">
        <v>0.20155103594044599</v>
      </c>
      <c r="BF338" s="5">
        <v>0.47064622012664398</v>
      </c>
      <c r="BG338" s="5">
        <v>-0.19080748226831301</v>
      </c>
      <c r="BH338" s="5">
        <v>0.73352995383542197</v>
      </c>
      <c r="BI338" s="5">
        <v>-0.40886665284911999</v>
      </c>
      <c r="BJ338" s="5">
        <v>-0.233306330651808</v>
      </c>
      <c r="BK338" s="5">
        <v>0.15645330415259701</v>
      </c>
      <c r="BL338" s="5">
        <v>7.5365555500271894E-2</v>
      </c>
      <c r="BM338" s="5">
        <v>-0.121752092837583</v>
      </c>
      <c r="BN338" s="5">
        <v>-6.7593907749478099E-2</v>
      </c>
      <c r="BO338" s="5">
        <v>0.141474911396307</v>
      </c>
      <c r="BP338" s="5">
        <v>-0.160630349405147</v>
      </c>
      <c r="BQ338" s="5">
        <v>0.26939860013216699</v>
      </c>
      <c r="BR338" s="5">
        <v>0.67729088108947799</v>
      </c>
      <c r="BS338" s="5">
        <v>-0.38620800122914201</v>
      </c>
      <c r="BT338" s="5">
        <v>0.76218859535649397</v>
      </c>
      <c r="BU338" s="5">
        <v>-0.47395259667133799</v>
      </c>
      <c r="BV338" s="5">
        <v>0.586454496125286</v>
      </c>
      <c r="BW338" s="5">
        <v>-0.23509943420212401</v>
      </c>
      <c r="BX338" s="5">
        <v>0.52910314568325301</v>
      </c>
      <c r="BY338" s="5">
        <v>-0.23573261936607801</v>
      </c>
      <c r="BZ338" s="5">
        <v>0.50587201624606604</v>
      </c>
      <c r="CA338" s="5">
        <v>-0.21392408327010001</v>
      </c>
      <c r="CB338" s="5">
        <v>0.261968331309271</v>
      </c>
      <c r="CC338" s="5">
        <v>-8.8775010611050198E-2</v>
      </c>
      <c r="CD338" s="5">
        <v>0.19136582992133699</v>
      </c>
      <c r="CE338" s="5">
        <v>-2.76510636341172E-2</v>
      </c>
      <c r="CF338" s="5">
        <v>0.47277798775091501</v>
      </c>
      <c r="CG338" s="5">
        <v>-0.26802515662479298</v>
      </c>
      <c r="CH338" s="5">
        <v>0.17307712441540199</v>
      </c>
      <c r="CI338" s="5">
        <v>-6.9099986834845698E-3</v>
      </c>
      <c r="CJ338" s="5">
        <v>0.27313384291950199</v>
      </c>
      <c r="CK338" s="5">
        <v>-2.9083166207011402E-2</v>
      </c>
      <c r="CL338" s="5">
        <v>7.4181625344251295E-2</v>
      </c>
      <c r="CM338" s="5">
        <v>-6.7718292719633005E-2</v>
      </c>
      <c r="CN338" s="5">
        <v>7.6819734465557593E-2</v>
      </c>
      <c r="CO338" s="5">
        <v>-4.1450566741832201E-2</v>
      </c>
      <c r="CP338" s="5">
        <v>0.40433294563370997</v>
      </c>
      <c r="CQ338" s="5">
        <v>-0.13701435788732499</v>
      </c>
      <c r="CR338" s="5">
        <v>0.38360130804645398</v>
      </c>
      <c r="CS338" s="5">
        <v>-0.18985862314409899</v>
      </c>
      <c r="CT338" s="5">
        <v>0.10825144616151799</v>
      </c>
      <c r="CU338" s="5">
        <v>-0.11998799295071</v>
      </c>
      <c r="CV338" s="5">
        <v>0.438332445516533</v>
      </c>
      <c r="CW338" s="5">
        <v>-0.22882842968504699</v>
      </c>
      <c r="CX338" s="5">
        <v>0.61687186029645202</v>
      </c>
      <c r="CY338" s="5">
        <v>-0.32754246157658401</v>
      </c>
      <c r="CZ338" s="5">
        <v>0.47856812506773999</v>
      </c>
      <c r="DA338" s="5">
        <v>-0.22674595106168399</v>
      </c>
      <c r="DB338" s="5">
        <v>0.48556180616953898</v>
      </c>
      <c r="DC338" s="5">
        <v>-0.118808750321655</v>
      </c>
      <c r="DD338" s="5">
        <v>0.582146685462688</v>
      </c>
      <c r="DE338" s="5">
        <v>-0.25122875997053101</v>
      </c>
      <c r="DF338" s="5">
        <v>0.35251635401241099</v>
      </c>
      <c r="DG338" s="5">
        <v>-8.0600043539227298E-2</v>
      </c>
      <c r="DH338" s="5">
        <v>0.16535366989209499</v>
      </c>
      <c r="DI338" s="5">
        <v>0.14278350209013099</v>
      </c>
      <c r="DJ338" s="5">
        <v>-3.0941834007130999E-2</v>
      </c>
      <c r="DK338" s="5">
        <v>-2.3695752239648499E-2</v>
      </c>
      <c r="DL338" s="5">
        <v>0.49689561467527599</v>
      </c>
      <c r="DM338" s="5">
        <v>-0.131045144380004</v>
      </c>
      <c r="DN338" s="5">
        <v>-3.0897872019624201E-2</v>
      </c>
      <c r="DO338" s="5">
        <v>-8.9299124152224907E-2</v>
      </c>
      <c r="DP338" s="5">
        <v>0.28901357155415902</v>
      </c>
      <c r="DQ338" s="5">
        <v>-1.30824494390638E-2</v>
      </c>
      <c r="DR338" s="5">
        <v>0.129656291523575</v>
      </c>
      <c r="DS338" s="5">
        <v>1.2727785272841701E-2</v>
      </c>
      <c r="DT338" s="5">
        <v>0.123622911553114</v>
      </c>
      <c r="DU338" s="5">
        <v>2.99431473972319E-2</v>
      </c>
      <c r="DV338" s="5">
        <v>0.43649266290537098</v>
      </c>
      <c r="DW338" s="5">
        <v>-0.18268735682089901</v>
      </c>
      <c r="DX338" s="5">
        <v>5.5150902346782799E-2</v>
      </c>
      <c r="DY338" s="5">
        <v>-4.5458464064998198E-2</v>
      </c>
      <c r="DZ338" s="5">
        <v>-8.7448483689942805E-2</v>
      </c>
      <c r="EA338" s="5">
        <v>0.10260123630116801</v>
      </c>
      <c r="EB338" s="5">
        <v>0.74009750838551702</v>
      </c>
      <c r="EC338" s="5">
        <v>-0.43012285698103297</v>
      </c>
      <c r="ED338" s="5">
        <v>0.70321493742494601</v>
      </c>
      <c r="EE338" s="5">
        <v>-0.38145808525823499</v>
      </c>
      <c r="EF338" s="5">
        <v>0.38654693696098602</v>
      </c>
      <c r="EG338" s="5">
        <v>-0.210809104765</v>
      </c>
      <c r="EH338" s="5">
        <v>0.55027066293609705</v>
      </c>
      <c r="EI338" s="5">
        <v>-0.23139746033806199</v>
      </c>
      <c r="EJ338" s="5">
        <v>0.59062821177956804</v>
      </c>
      <c r="EK338" s="5">
        <v>-0.26954148260218502</v>
      </c>
      <c r="EL338" s="5">
        <v>0.65308869255970803</v>
      </c>
      <c r="EM338" s="5">
        <v>-0.39821408836262401</v>
      </c>
      <c r="EN338" s="5">
        <v>0.20439737053474799</v>
      </c>
      <c r="EO338" s="5">
        <v>7.5821923878133801E-2</v>
      </c>
      <c r="EP338" s="5">
        <v>0.46297489417945598</v>
      </c>
      <c r="EQ338" s="5">
        <v>-0.27002277299427102</v>
      </c>
      <c r="ER338" s="5">
        <v>0.43389677270556798</v>
      </c>
      <c r="ES338" s="5">
        <v>-0.12759378489984399</v>
      </c>
      <c r="ET338" s="5">
        <v>0.43752359824001102</v>
      </c>
      <c r="EU338" s="5">
        <v>-0.20684245991349801</v>
      </c>
      <c r="EV338" s="5">
        <v>0.49724850112942098</v>
      </c>
      <c r="EW338" s="5">
        <v>-0.27991452501349301</v>
      </c>
      <c r="EX338" s="5">
        <v>0.26730211652839603</v>
      </c>
      <c r="EY338" s="5">
        <v>-8.30902332809553E-2</v>
      </c>
      <c r="EZ338" s="5">
        <v>0.463837638306065</v>
      </c>
      <c r="FA338" s="5">
        <v>-0.168649211955677</v>
      </c>
      <c r="FB338" s="5">
        <v>0.121665995327643</v>
      </c>
      <c r="FC338" s="5">
        <v>6.3106536386339104E-2</v>
      </c>
      <c r="FD338" s="5">
        <v>0.41906718790126901</v>
      </c>
      <c r="FE338" s="5">
        <v>-0.195864170383794</v>
      </c>
      <c r="FF338" s="5">
        <v>9.63895321995617E-2</v>
      </c>
      <c r="FG338" s="5">
        <v>4.1639607001786302E-2</v>
      </c>
      <c r="FH338" s="5">
        <v>0.53523164399238599</v>
      </c>
      <c r="FI338" s="5">
        <v>-0.28481038939588499</v>
      </c>
      <c r="FJ338" s="5">
        <v>0.54203420554600901</v>
      </c>
      <c r="FK338" s="5">
        <v>-0.19511207754992199</v>
      </c>
      <c r="FL338" s="5">
        <v>-3.6572010797890797E-2</v>
      </c>
      <c r="FM338" s="5">
        <v>9.1442813358934699E-2</v>
      </c>
      <c r="FN338" s="5">
        <v>0.49286858092213198</v>
      </c>
      <c r="FO338" s="5">
        <v>-0.131645800406371</v>
      </c>
      <c r="FP338" s="5">
        <v>0.54855496560513595</v>
      </c>
      <c r="FQ338" s="5">
        <v>-0.20115634450693701</v>
      </c>
      <c r="FR338" s="5">
        <v>-9.7054807533242998E-2</v>
      </c>
      <c r="FS338" s="5">
        <v>7.1826561925460997E-2</v>
      </c>
      <c r="FT338" s="5">
        <v>0.38609948383849502</v>
      </c>
      <c r="FU338" s="5">
        <v>-5.45320789101786E-3</v>
      </c>
      <c r="FV338" s="5">
        <v>0.16414354630281899</v>
      </c>
      <c r="FW338" s="5">
        <v>9.7466674444472601E-2</v>
      </c>
      <c r="FX338" s="5">
        <v>0.378226539525787</v>
      </c>
      <c r="FY338" s="5">
        <v>-0.188068318042244</v>
      </c>
      <c r="FZ338" s="5">
        <v>0.44380138188705298</v>
      </c>
      <c r="GA338" s="5">
        <v>-4.06507675272356E-2</v>
      </c>
      <c r="GB338" s="5">
        <v>8.6083225663422802E-2</v>
      </c>
      <c r="GC338" s="5">
        <v>0.16815936956197799</v>
      </c>
      <c r="GD338" s="5">
        <v>-0.237406864605334</v>
      </c>
      <c r="GE338" s="5">
        <v>0.24834747062955401</v>
      </c>
      <c r="GF338" s="5">
        <v>0.37616630018241498</v>
      </c>
      <c r="GG338" s="5">
        <v>-5.05574410139953E-2</v>
      </c>
      <c r="GH338" s="5">
        <v>-0.30398312099420399</v>
      </c>
      <c r="GI338" s="5">
        <v>0.21565970107383101</v>
      </c>
      <c r="GJ338" s="5">
        <v>0.53224930218552402</v>
      </c>
      <c r="GK338" s="5">
        <v>-0.33062085017915099</v>
      </c>
      <c r="GL338" s="5">
        <v>0.45297195245341398</v>
      </c>
      <c r="GM338" s="5">
        <v>-0.27991209281520302</v>
      </c>
      <c r="GN338" s="5">
        <v>0.10984945155734099</v>
      </c>
      <c r="GO338" s="5">
        <v>0.16717006186324901</v>
      </c>
      <c r="GP338" s="5">
        <v>0.56801393718816195</v>
      </c>
      <c r="GQ338" s="5">
        <v>-0.24571782317867799</v>
      </c>
      <c r="GR338" s="5">
        <v>0.639942080502649</v>
      </c>
      <c r="GS338" s="5">
        <v>-0.46528047341664203</v>
      </c>
      <c r="GT338" s="5">
        <v>0.318041751585104</v>
      </c>
      <c r="GU338" s="5">
        <v>3.9303063877901799E-2</v>
      </c>
      <c r="GV338" s="5">
        <v>0.49858133525871301</v>
      </c>
      <c r="GW338" s="5">
        <v>-0.29710552042259097</v>
      </c>
      <c r="GX338" s="5">
        <v>0.55593289636611798</v>
      </c>
      <c r="GY338" s="5">
        <v>-0.27760124825876897</v>
      </c>
      <c r="GZ338" s="5">
        <v>7.1407433315284499E-2</v>
      </c>
      <c r="HA338" s="5">
        <v>-0.110937800035444</v>
      </c>
      <c r="HB338" s="5">
        <v>0.35988602668387598</v>
      </c>
      <c r="HC338" s="5">
        <v>-8.5241250630651896E-2</v>
      </c>
      <c r="HD338" s="5">
        <v>0.17984490626244301</v>
      </c>
      <c r="HE338" s="5">
        <v>0.161969117364506</v>
      </c>
      <c r="HF338" s="5">
        <v>-6.2965431257696203E-3</v>
      </c>
      <c r="HG338" s="5">
        <v>-1.83700954971718E-2</v>
      </c>
      <c r="HH338" s="5">
        <v>8.3491271112821397E-2</v>
      </c>
      <c r="HI338" s="5">
        <v>-3.1483273772449902E-2</v>
      </c>
      <c r="HJ338" s="5">
        <v>-1.5969148080105001E-2</v>
      </c>
      <c r="HK338" s="5">
        <v>-2.2917739969929601E-2</v>
      </c>
      <c r="HL338" s="5">
        <v>0.35457821714048798</v>
      </c>
      <c r="HM338" s="5">
        <v>-5.8555467580590999E-2</v>
      </c>
      <c r="HN338" s="5">
        <v>8.7717521575598603E-2</v>
      </c>
      <c r="HO338" s="5">
        <v>2.6541650832279801E-2</v>
      </c>
      <c r="HP338" s="5">
        <v>0.50530504796940701</v>
      </c>
      <c r="HQ338" s="5">
        <v>-0.21626584902291801</v>
      </c>
      <c r="HR338" s="5">
        <v>0.49393800041123698</v>
      </c>
      <c r="HS338" s="5">
        <v>-0.154337330656451</v>
      </c>
      <c r="HT338" s="5">
        <v>8.1993494156537602E-2</v>
      </c>
      <c r="HU338" s="5">
        <v>8.4987649647028499E-2</v>
      </c>
      <c r="HV338" s="5">
        <v>0.73721347424364003</v>
      </c>
      <c r="HW338" s="5">
        <v>-0.441009039171461</v>
      </c>
      <c r="HX338" s="5">
        <v>0.53487498944116796</v>
      </c>
      <c r="HY338" s="5">
        <v>-0.25826086230395601</v>
      </c>
      <c r="HZ338" s="5">
        <v>1.8244991154352901E-2</v>
      </c>
      <c r="IA338" s="5">
        <v>2.9810207255049799E-2</v>
      </c>
      <c r="IB338" s="5">
        <v>-0.260048494584178</v>
      </c>
      <c r="IC338" s="5">
        <v>0.19111682368841501</v>
      </c>
      <c r="ID338" s="5">
        <v>0.57536440228546903</v>
      </c>
      <c r="IE338" s="5">
        <v>-0.26733507841681398</v>
      </c>
      <c r="IF338" s="5">
        <v>0.59205161191905897</v>
      </c>
      <c r="IG338" s="5">
        <v>-0.28213411169721397</v>
      </c>
      <c r="IH338" s="5">
        <v>0.42188469248078098</v>
      </c>
      <c r="II338" s="5">
        <v>-0.23013575851086199</v>
      </c>
      <c r="IJ338" s="5">
        <v>0.24025547752131399</v>
      </c>
      <c r="IK338" s="5">
        <v>-0.15286629683943201</v>
      </c>
      <c r="IL338" s="5">
        <v>0.59930205497722999</v>
      </c>
      <c r="IM338" s="5">
        <v>-0.26475047881851299</v>
      </c>
      <c r="IN338" s="5">
        <v>0.61907799215912895</v>
      </c>
      <c r="IO338" s="5">
        <v>-0.35814592609831303</v>
      </c>
      <c r="IP338" s="5">
        <v>0.53906690175877703</v>
      </c>
      <c r="IQ338" s="5">
        <v>-0.19531430153551901</v>
      </c>
      <c r="IR338" s="5">
        <v>0.193729370390511</v>
      </c>
      <c r="IS338" s="5">
        <v>2.3858748961578701E-2</v>
      </c>
      <c r="IT338" s="5">
        <v>0.76759985209699999</v>
      </c>
      <c r="IU338" s="5">
        <v>-0.48251058400867303</v>
      </c>
      <c r="IV338" s="5">
        <v>0.70214068159130105</v>
      </c>
      <c r="IW338" s="5">
        <v>-0.43972807470901698</v>
      </c>
      <c r="IX338" s="5">
        <v>0.46476304584933498</v>
      </c>
      <c r="IY338" s="5">
        <v>-0.20542840389689301</v>
      </c>
      <c r="IZ338" s="5">
        <v>0.12522366972561599</v>
      </c>
      <c r="JA338" s="5">
        <v>-8.1257264424662398E-2</v>
      </c>
      <c r="JB338" s="5">
        <v>4.6341690652675703E-2</v>
      </c>
      <c r="JC338" s="5">
        <v>-0.195289943745765</v>
      </c>
      <c r="JD338" s="5">
        <v>0.275515638616674</v>
      </c>
      <c r="JE338" s="5">
        <v>6.4413303860146501E-2</v>
      </c>
      <c r="JF338" s="5">
        <v>0.34727506790677398</v>
      </c>
      <c r="JG338" s="5">
        <v>-0.24025420112163101</v>
      </c>
      <c r="JH338" s="5">
        <v>9.7998030701918801E-2</v>
      </c>
      <c r="JI338" s="5">
        <v>-1.5729426156610299E-2</v>
      </c>
      <c r="JJ338" s="5">
        <v>0.56826374340545005</v>
      </c>
      <c r="JK338" s="5">
        <v>-0.19504854871267899</v>
      </c>
      <c r="JL338" s="5">
        <v>0.56256447531631903</v>
      </c>
      <c r="JM338" s="5">
        <v>-0.22837853334129701</v>
      </c>
      <c r="JN338" s="5">
        <v>0.48255742154536302</v>
      </c>
      <c r="JO338" s="5">
        <v>-0.27263256277842202</v>
      </c>
      <c r="JP338" s="5">
        <v>0.53233467428398196</v>
      </c>
      <c r="JQ338" s="5">
        <v>-0.21689933955774701</v>
      </c>
      <c r="JR338" s="5">
        <v>0.32964693099580999</v>
      </c>
      <c r="JS338" s="5">
        <v>-2.6212410313222599E-2</v>
      </c>
      <c r="JT338" s="5">
        <v>8.2196443835414107E-2</v>
      </c>
      <c r="JU338" s="5">
        <v>0.113153049259337</v>
      </c>
      <c r="JV338" s="5">
        <v>0.48275207553812599</v>
      </c>
      <c r="JW338" s="5">
        <v>-0.150250338180661</v>
      </c>
      <c r="JX338" s="5">
        <v>5.6552471363870697E-2</v>
      </c>
      <c r="JY338" s="5">
        <v>-4.3996620476298598E-2</v>
      </c>
      <c r="JZ338" s="5">
        <v>0.438375042483513</v>
      </c>
      <c r="KA338" s="5">
        <v>-0.24304174480752</v>
      </c>
      <c r="KB338" s="5">
        <v>-4.12195891054195E-2</v>
      </c>
      <c r="KC338" s="5">
        <v>1.11360625119262E-2</v>
      </c>
      <c r="KD338" s="5">
        <v>9.8610165876024197E-2</v>
      </c>
      <c r="KE338" s="5">
        <v>0.214880632083537</v>
      </c>
      <c r="KF338" s="5">
        <v>0.51831106969057705</v>
      </c>
      <c r="KG338" s="5">
        <v>-0.34205223120473699</v>
      </c>
      <c r="KH338" s="5">
        <v>0.347669562515524</v>
      </c>
      <c r="KI338" s="5">
        <v>3.2334801594792399E-2</v>
      </c>
      <c r="KJ338" s="5">
        <v>0.55400269609209596</v>
      </c>
      <c r="KK338" s="5">
        <v>-0.24121132946541601</v>
      </c>
      <c r="KL338" s="5">
        <v>0.33105101759166899</v>
      </c>
      <c r="KM338" s="5">
        <v>-0.21007069956521299</v>
      </c>
      <c r="KN338" s="5">
        <v>6.2973424313152601E-2</v>
      </c>
      <c r="KO338" s="5">
        <v>1.6074951659751199E-2</v>
      </c>
      <c r="KP338" s="5">
        <v>-0.246924427806547</v>
      </c>
      <c r="KQ338" s="5">
        <v>0.13397977459184399</v>
      </c>
      <c r="KR338" s="5">
        <v>0.51416768790220801</v>
      </c>
      <c r="KS338" s="5">
        <v>-0.17281244137722801</v>
      </c>
      <c r="KT338" s="5">
        <v>0.60952523331497799</v>
      </c>
      <c r="KU338" s="5">
        <v>-0.27080375832294401</v>
      </c>
      <c r="KV338" s="5">
        <v>0.775604215876319</v>
      </c>
      <c r="KW338" s="5">
        <v>-0.45154151313482099</v>
      </c>
      <c r="KX338" s="5">
        <v>0.628637111425567</v>
      </c>
      <c r="KY338" s="5">
        <v>-0.30322034532804398</v>
      </c>
      <c r="KZ338" s="5">
        <v>0.36441266654043297</v>
      </c>
      <c r="LA338" s="5">
        <v>-0.212854843016481</v>
      </c>
      <c r="LB338" s="5">
        <v>0.68018332011843696</v>
      </c>
      <c r="LC338" s="5">
        <v>-0.405616807715378</v>
      </c>
      <c r="LD338" s="5">
        <v>0.44969623051512497</v>
      </c>
      <c r="LE338" s="5">
        <v>-0.16629152002901601</v>
      </c>
      <c r="LF338" s="5">
        <v>0.115045128505154</v>
      </c>
      <c r="LG338" s="5">
        <v>7.4308821985695203E-2</v>
      </c>
      <c r="LH338" s="5">
        <v>0.53600127598174396</v>
      </c>
      <c r="LI338" s="5">
        <v>-0.21104059332258901</v>
      </c>
      <c r="LJ338" s="5">
        <v>0.10174357538088601</v>
      </c>
      <c r="LK338" s="5">
        <v>7.9067826252899195E-2</v>
      </c>
      <c r="LL338" s="5">
        <v>0.54568034299267998</v>
      </c>
      <c r="LM338" s="5">
        <v>-0.23733498333563199</v>
      </c>
      <c r="LN338" s="5">
        <v>0.44631571446003299</v>
      </c>
      <c r="LO338" s="5">
        <v>-0.25206318948470802</v>
      </c>
      <c r="LP338" s="5">
        <v>0.49008228165576601</v>
      </c>
      <c r="LQ338" s="5">
        <v>-0.31914714661587801</v>
      </c>
      <c r="LR338" s="5">
        <v>4.9080430763688503E-2</v>
      </c>
      <c r="LS338" s="5">
        <v>-4.7035326381904899E-2</v>
      </c>
      <c r="LT338" s="5">
        <v>9.2901734657274401E-2</v>
      </c>
      <c r="LU338" s="5">
        <v>-4.6255833978942701E-2</v>
      </c>
      <c r="LV338" s="5">
        <v>4.7915275565300099E-2</v>
      </c>
      <c r="LW338" s="5">
        <v>-0.15976557338620301</v>
      </c>
      <c r="LX338" s="5">
        <v>0.43613960294693799</v>
      </c>
      <c r="LY338" s="5">
        <v>-6.8389065973865598E-2</v>
      </c>
      <c r="LZ338" s="5">
        <v>1</v>
      </c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</row>
    <row r="339" spans="1:389" x14ac:dyDescent="0.45">
      <c r="A339" s="4" t="str">
        <f ca="1">"TCD / beta2dist in "&amp;CELL("address",'damages-1990'!$K$170)</f>
        <v>TCD / beta2dist in '[BHM betas v3pd.xlsx]damages-1990'!$K$170</v>
      </c>
      <c r="B339" s="6">
        <v>-0.16381063857063499</v>
      </c>
      <c r="C339" s="5">
        <v>0.25326222587498098</v>
      </c>
      <c r="D339" s="5">
        <v>-0.24709857765276699</v>
      </c>
      <c r="E339" s="5">
        <v>0.40398465504243802</v>
      </c>
      <c r="F339" s="5">
        <v>-9.1608388594639507E-3</v>
      </c>
      <c r="G339" s="5">
        <v>-6.7584681231050501E-4</v>
      </c>
      <c r="H339" s="5">
        <v>-4.9496970239978198E-2</v>
      </c>
      <c r="I339" s="5">
        <v>1.8420189129796101E-2</v>
      </c>
      <c r="J339" s="5">
        <v>-0.27663884015756901</v>
      </c>
      <c r="K339" s="5">
        <v>0.397860508564019</v>
      </c>
      <c r="L339" s="5">
        <v>-0.104970510072533</v>
      </c>
      <c r="M339" s="5">
        <v>0.12138095087900599</v>
      </c>
      <c r="N339" s="5">
        <v>0.14276299869235901</v>
      </c>
      <c r="O339" s="5">
        <v>-0.18872381584279699</v>
      </c>
      <c r="P339" s="5">
        <v>-0.41941777473917902</v>
      </c>
      <c r="Q339" s="5">
        <v>0.54084643422937095</v>
      </c>
      <c r="R339" s="5">
        <v>-0.15028229140962199</v>
      </c>
      <c r="S339" s="5">
        <v>0.31354979273751399</v>
      </c>
      <c r="T339" s="5">
        <v>-0.197377446018772</v>
      </c>
      <c r="U339" s="5">
        <v>0.22112488217438001</v>
      </c>
      <c r="V339" s="5">
        <v>-3.85082997381875E-2</v>
      </c>
      <c r="W339" s="5">
        <v>2.90018559117672E-3</v>
      </c>
      <c r="X339" s="5">
        <v>-0.248473326965751</v>
      </c>
      <c r="Y339" s="5">
        <v>0.36205640326875099</v>
      </c>
      <c r="Z339" s="5">
        <v>-0.140258240959928</v>
      </c>
      <c r="AA339" s="5">
        <v>0.17236303644666101</v>
      </c>
      <c r="AB339" s="5">
        <v>-0.48171502867524002</v>
      </c>
      <c r="AC339" s="5">
        <v>0.70534909488530595</v>
      </c>
      <c r="AD339" s="5">
        <v>-0.64994307477228397</v>
      </c>
      <c r="AE339" s="5">
        <v>0.81307455268484397</v>
      </c>
      <c r="AF339" s="5">
        <v>-0.23584763913670401</v>
      </c>
      <c r="AG339" s="5">
        <v>0.39974123751136797</v>
      </c>
      <c r="AH339" s="5">
        <v>-3.9628855532034699E-2</v>
      </c>
      <c r="AI339" s="5">
        <v>4.0225301315678003E-2</v>
      </c>
      <c r="AJ339" s="5">
        <v>-0.28795887239136297</v>
      </c>
      <c r="AK339" s="5">
        <v>0.41210125738287301</v>
      </c>
      <c r="AL339" s="5">
        <v>0.23962284251871499</v>
      </c>
      <c r="AM339" s="5">
        <v>-0.22496985188997801</v>
      </c>
      <c r="AN339" s="5">
        <v>-8.4224167922747506E-2</v>
      </c>
      <c r="AO339" s="5">
        <v>9.8742388415311397E-2</v>
      </c>
      <c r="AP339" s="5">
        <v>-0.16072183197468301</v>
      </c>
      <c r="AQ339" s="5">
        <v>0.20159919074917601</v>
      </c>
      <c r="AR339" s="5">
        <v>-7.1012298753401898E-2</v>
      </c>
      <c r="AS339" s="5">
        <v>0.18333978543603</v>
      </c>
      <c r="AT339" s="5">
        <v>0.27500938445038697</v>
      </c>
      <c r="AU339" s="5">
        <v>-0.25112799875153602</v>
      </c>
      <c r="AV339" s="5">
        <v>-0.20760087145290501</v>
      </c>
      <c r="AW339" s="5">
        <v>0.47833084354067201</v>
      </c>
      <c r="AX339" s="5">
        <v>-0.24582420879959799</v>
      </c>
      <c r="AY339" s="5">
        <v>0.47841104931357697</v>
      </c>
      <c r="AZ339" s="5">
        <v>-0.44195293976797401</v>
      </c>
      <c r="BA339" s="5">
        <v>0.55033334083052898</v>
      </c>
      <c r="BB339" s="5">
        <v>-0.18214236667421599</v>
      </c>
      <c r="BC339" s="5">
        <v>0.35179078447835699</v>
      </c>
      <c r="BD339" s="5">
        <v>-9.17338342463178E-2</v>
      </c>
      <c r="BE339" s="5">
        <v>0.144056820228916</v>
      </c>
      <c r="BF339" s="5">
        <v>-0.225866306535144</v>
      </c>
      <c r="BG339" s="5">
        <v>0.35293041639864497</v>
      </c>
      <c r="BH339" s="5">
        <v>-0.458839936399841</v>
      </c>
      <c r="BI339" s="5">
        <v>0.664054144985193</v>
      </c>
      <c r="BJ339" s="5">
        <v>-2.3413732943405999E-2</v>
      </c>
      <c r="BK339" s="5">
        <v>-0.134406146328828</v>
      </c>
      <c r="BL339" s="5">
        <v>-0.215830141246247</v>
      </c>
      <c r="BM339" s="5">
        <v>0.21509297309078501</v>
      </c>
      <c r="BN339" s="5">
        <v>-2.2957863590488601E-2</v>
      </c>
      <c r="BO339" s="5">
        <v>-8.5050239761526591E-3</v>
      </c>
      <c r="BP339" s="5">
        <v>6.3707528518939502E-2</v>
      </c>
      <c r="BQ339" s="5">
        <v>-0.16232521846968301</v>
      </c>
      <c r="BR339" s="5">
        <v>-0.54782532224288105</v>
      </c>
      <c r="BS339" s="5">
        <v>0.70744570134203699</v>
      </c>
      <c r="BT339" s="5">
        <v>-0.46189411324451501</v>
      </c>
      <c r="BU339" s="5">
        <v>0.727071159500571</v>
      </c>
      <c r="BV339" s="5">
        <v>-0.292037621967418</v>
      </c>
      <c r="BW339" s="5">
        <v>0.46486315695680402</v>
      </c>
      <c r="BX339" s="5">
        <v>-0.24025320024472199</v>
      </c>
      <c r="BY339" s="5">
        <v>0.43667862817647501</v>
      </c>
      <c r="BZ339" s="5">
        <v>-0.234272639664279</v>
      </c>
      <c r="CA339" s="5">
        <v>0.42289382585444701</v>
      </c>
      <c r="CB339" s="5">
        <v>-2.4498653076400301E-3</v>
      </c>
      <c r="CC339" s="5">
        <v>0.18364214297917</v>
      </c>
      <c r="CD339" s="5">
        <v>-7.6634231510539594E-2</v>
      </c>
      <c r="CE339" s="5">
        <v>0.205988574340186</v>
      </c>
      <c r="CF339" s="5">
        <v>-0.362575508520812</v>
      </c>
      <c r="CG339" s="5">
        <v>0.49523388354410303</v>
      </c>
      <c r="CH339" s="5">
        <v>0.23257330559522499</v>
      </c>
      <c r="CI339" s="5">
        <v>-0.181009010965825</v>
      </c>
      <c r="CJ339" s="5">
        <v>-0.104542519859008</v>
      </c>
      <c r="CK339" s="5">
        <v>0.113207216938366</v>
      </c>
      <c r="CL339" s="5">
        <v>-0.14150864485696299</v>
      </c>
      <c r="CM339" s="5">
        <v>0.16897897198973699</v>
      </c>
      <c r="CN339" s="5">
        <v>-0.12932751622323199</v>
      </c>
      <c r="CO339" s="5">
        <v>0.15212854754164501</v>
      </c>
      <c r="CP339" s="5">
        <v>-0.34729474379988901</v>
      </c>
      <c r="CQ339" s="5">
        <v>0.42790244666302102</v>
      </c>
      <c r="CR339" s="5">
        <v>-0.370278488188369</v>
      </c>
      <c r="CS339" s="5">
        <v>0.48076653391754598</v>
      </c>
      <c r="CT339" s="5">
        <v>-0.203131102003904</v>
      </c>
      <c r="CU339" s="5">
        <v>0.239129431848423</v>
      </c>
      <c r="CV339" s="5">
        <v>-0.32550859897258699</v>
      </c>
      <c r="CW339" s="5">
        <v>0.44089126982208499</v>
      </c>
      <c r="CX339" s="5">
        <v>-0.42630216897404899</v>
      </c>
      <c r="CY339" s="5">
        <v>0.612076963204225</v>
      </c>
      <c r="CZ339" s="5">
        <v>-0.22391586073568001</v>
      </c>
      <c r="DA339" s="5">
        <v>0.39942121221371601</v>
      </c>
      <c r="DB339" s="5">
        <v>-0.22085457508630099</v>
      </c>
      <c r="DC339" s="5">
        <v>0.30905369887878098</v>
      </c>
      <c r="DD339" s="5">
        <v>-0.497857896884983</v>
      </c>
      <c r="DE339" s="5">
        <v>0.57916890445137403</v>
      </c>
      <c r="DF339" s="5">
        <v>-0.164533164627435</v>
      </c>
      <c r="DG339" s="5">
        <v>0.29748513494564199</v>
      </c>
      <c r="DH339" s="5">
        <v>-3.8059049846400697E-2</v>
      </c>
      <c r="DI339" s="5">
        <v>8.3584718280948794E-2</v>
      </c>
      <c r="DJ339" s="5">
        <v>-0.19838488669940399</v>
      </c>
      <c r="DK339" s="5">
        <v>0.246382753716157</v>
      </c>
      <c r="DL339" s="5">
        <v>-0.252283024738439</v>
      </c>
      <c r="DM339" s="5">
        <v>0.39132930531381699</v>
      </c>
      <c r="DN339" s="5">
        <v>-0.25115800185048698</v>
      </c>
      <c r="DO339" s="5">
        <v>0.30109132573953301</v>
      </c>
      <c r="DP339" s="5">
        <v>0.12622059453957199</v>
      </c>
      <c r="DQ339" s="5">
        <v>-0.113958160102047</v>
      </c>
      <c r="DR339" s="5">
        <v>-0.10245764993307201</v>
      </c>
      <c r="DS339" s="5">
        <v>0.15353661912021299</v>
      </c>
      <c r="DT339" s="5">
        <v>-3.5690307979782301E-2</v>
      </c>
      <c r="DU339" s="5">
        <v>0.105830074010355</v>
      </c>
      <c r="DV339" s="5">
        <v>-0.20253030278176401</v>
      </c>
      <c r="DW339" s="5">
        <v>0.35939383469355202</v>
      </c>
      <c r="DX339" s="5">
        <v>-0.19013799620590599</v>
      </c>
      <c r="DY339" s="5">
        <v>0.2356799528154</v>
      </c>
      <c r="DZ339" s="5">
        <v>5.2150247702409697E-2</v>
      </c>
      <c r="EA339" s="5">
        <v>-4.8856451329066498E-2</v>
      </c>
      <c r="EB339" s="5">
        <v>-0.58635830678688805</v>
      </c>
      <c r="EC339" s="5">
        <v>0.73804151560418396</v>
      </c>
      <c r="ED339" s="5">
        <v>-0.50452837304047404</v>
      </c>
      <c r="EE339" s="5">
        <v>0.67538898211709097</v>
      </c>
      <c r="EF339" s="5">
        <v>-0.40727477682280699</v>
      </c>
      <c r="EG339" s="5">
        <v>0.51082777251138101</v>
      </c>
      <c r="EH339" s="5">
        <v>-0.31107352714434899</v>
      </c>
      <c r="EI339" s="5">
        <v>0.49755631329424399</v>
      </c>
      <c r="EJ339" s="5">
        <v>-0.363004007892129</v>
      </c>
      <c r="EK339" s="5">
        <v>0.54919535809853304</v>
      </c>
      <c r="EL339" s="5">
        <v>-0.35942070038924301</v>
      </c>
      <c r="EM339" s="5">
        <v>0.58230842613607803</v>
      </c>
      <c r="EN339" s="5">
        <v>3.4381379051899898E-2</v>
      </c>
      <c r="EO339" s="5">
        <v>-6.8030820999261901E-2</v>
      </c>
      <c r="EP339" s="5">
        <v>-0.40027142130851201</v>
      </c>
      <c r="EQ339" s="5">
        <v>0.49861866112201503</v>
      </c>
      <c r="ER339" s="5">
        <v>-0.12796167582803999</v>
      </c>
      <c r="ES339" s="5">
        <v>0.25616802931737898</v>
      </c>
      <c r="ET339" s="5">
        <v>-0.16764816386089601</v>
      </c>
      <c r="EU339" s="5">
        <v>0.34237530356145301</v>
      </c>
      <c r="EV339" s="5">
        <v>-0.32100808437372003</v>
      </c>
      <c r="EW339" s="5">
        <v>0.52440047618875796</v>
      </c>
      <c r="EX339" s="5">
        <v>4.4698333276352198E-2</v>
      </c>
      <c r="EY339" s="5">
        <v>0.12786548364771699</v>
      </c>
      <c r="EZ339" s="5">
        <v>-0.21144119088965199</v>
      </c>
      <c r="FA339" s="5">
        <v>0.36962232944594903</v>
      </c>
      <c r="FB339" s="5">
        <v>-5.4548712259337398E-2</v>
      </c>
      <c r="FC339" s="5">
        <v>7.2416054435718094E-2</v>
      </c>
      <c r="FD339" s="5">
        <v>-0.21027517262157</v>
      </c>
      <c r="FE339" s="5">
        <v>0.338932967333406</v>
      </c>
      <c r="FF339" s="5">
        <v>-4.9675256780319699E-2</v>
      </c>
      <c r="FG339" s="5">
        <v>6.6189826473158894E-2</v>
      </c>
      <c r="FH339" s="5">
        <v>-4.5149052021049102E-2</v>
      </c>
      <c r="FI339" s="5">
        <v>0.18592626484564601</v>
      </c>
      <c r="FJ339" s="5">
        <v>-0.30783777854579097</v>
      </c>
      <c r="FK339" s="5">
        <v>0.45802769009477001</v>
      </c>
      <c r="FL339" s="5">
        <v>-3.9264430460516503E-2</v>
      </c>
      <c r="FM339" s="5">
        <v>4.31139208516923E-2</v>
      </c>
      <c r="FN339" s="5">
        <v>-0.28001626149683601</v>
      </c>
      <c r="FO339" s="5">
        <v>0.34025054596467602</v>
      </c>
      <c r="FP339" s="5">
        <v>-0.29921945210130502</v>
      </c>
      <c r="FQ339" s="5">
        <v>0.35144597727198201</v>
      </c>
      <c r="FR339" s="5">
        <v>0.10028616683359499</v>
      </c>
      <c r="FS339" s="5">
        <v>-0.11355694973691299</v>
      </c>
      <c r="FT339" s="5">
        <v>-0.14399804412859701</v>
      </c>
      <c r="FU339" s="5">
        <v>0.180432476762797</v>
      </c>
      <c r="FV339" s="5">
        <v>-1.7811316728817299E-2</v>
      </c>
      <c r="FW339" s="5">
        <v>5.0511607658417501E-2</v>
      </c>
      <c r="FX339" s="5">
        <v>-0.17160615657881101</v>
      </c>
      <c r="FY339" s="5">
        <v>0.31986248445827897</v>
      </c>
      <c r="FZ339" s="5">
        <v>-0.16779354704944199</v>
      </c>
      <c r="GA339" s="5">
        <v>0.21530838939330699</v>
      </c>
      <c r="GB339" s="5">
        <v>-4.2760697072386403E-2</v>
      </c>
      <c r="GC339" s="5">
        <v>4.1115443984473803E-2</v>
      </c>
      <c r="GD339" s="5">
        <v>0.10517270886841699</v>
      </c>
      <c r="GE339" s="5">
        <v>-0.105318526921074</v>
      </c>
      <c r="GF339" s="5">
        <v>-7.2269621487073596E-2</v>
      </c>
      <c r="GG339" s="5">
        <v>0.255832346172156</v>
      </c>
      <c r="GH339" s="5">
        <v>0.25339865587524901</v>
      </c>
      <c r="GI339" s="5">
        <v>-0.34624198742999501</v>
      </c>
      <c r="GJ339" s="5">
        <v>-0.21261908301819801</v>
      </c>
      <c r="GK339" s="5">
        <v>0.40040978061876198</v>
      </c>
      <c r="GL339" s="5">
        <v>-0.47869106143648699</v>
      </c>
      <c r="GM339" s="5">
        <v>0.57039144229934302</v>
      </c>
      <c r="GN339" s="5">
        <v>-1.7327319763288499E-2</v>
      </c>
      <c r="GO339" s="5">
        <v>2.4912198744857401E-2</v>
      </c>
      <c r="GP339" s="5">
        <v>-0.33295107081073699</v>
      </c>
      <c r="GQ339" s="5">
        <v>0.43675956742240901</v>
      </c>
      <c r="GR339" s="5">
        <v>-0.36180989751767001</v>
      </c>
      <c r="GS339" s="5">
        <v>0.595741066915766</v>
      </c>
      <c r="GT339" s="5">
        <v>-0.11975551970304101</v>
      </c>
      <c r="GU339" s="5">
        <v>9.9583667234660306E-2</v>
      </c>
      <c r="GV339" s="5">
        <v>-0.25146553760720203</v>
      </c>
      <c r="GW339" s="5">
        <v>0.48284732835442301</v>
      </c>
      <c r="GX339" s="5">
        <v>-0.30543050444082998</v>
      </c>
      <c r="GY339" s="5">
        <v>0.42528718516727798</v>
      </c>
      <c r="GZ339" s="5">
        <v>-0.20916318667334499</v>
      </c>
      <c r="HA339" s="5">
        <v>0.20354997280885201</v>
      </c>
      <c r="HB339" s="5">
        <v>-3.4189131219646502E-3</v>
      </c>
      <c r="HC339" s="5">
        <v>0.17572066487562801</v>
      </c>
      <c r="HD339" s="5">
        <v>-0.12584655814486601</v>
      </c>
      <c r="HE339" s="5">
        <v>0.18813953261154101</v>
      </c>
      <c r="HF339" s="5">
        <v>-0.17676402253596299</v>
      </c>
      <c r="HG339" s="5">
        <v>0.21405997740059199</v>
      </c>
      <c r="HH339" s="5">
        <v>-0.128960317153304</v>
      </c>
      <c r="HI339" s="5">
        <v>0.14784393349514899</v>
      </c>
      <c r="HJ339" s="5">
        <v>-0.18575982356134699</v>
      </c>
      <c r="HK339" s="5">
        <v>0.223150459411218</v>
      </c>
      <c r="HL339" s="5">
        <v>-0.190369502523562</v>
      </c>
      <c r="HM339" s="5">
        <v>0.34432407055859598</v>
      </c>
      <c r="HN339" s="5">
        <v>-8.1468803945720494E-2</v>
      </c>
      <c r="HO339" s="5">
        <v>0.11749722234641601</v>
      </c>
      <c r="HP339" s="5">
        <v>-9.0071863481564096E-2</v>
      </c>
      <c r="HQ339" s="5">
        <v>0.30321731498772397</v>
      </c>
      <c r="HR339" s="5">
        <v>-0.108473689739883</v>
      </c>
      <c r="HS339" s="5">
        <v>0.22501187436775599</v>
      </c>
      <c r="HT339" s="5">
        <v>-4.3737490273156203E-2</v>
      </c>
      <c r="HU339" s="5">
        <v>5.1317856800195502E-2</v>
      </c>
      <c r="HV339" s="5">
        <v>-0.55184903373263094</v>
      </c>
      <c r="HW339" s="5">
        <v>0.73897953308098197</v>
      </c>
      <c r="HX339" s="5">
        <v>-0.231861260563866</v>
      </c>
      <c r="HY339" s="5">
        <v>0.46435184634257398</v>
      </c>
      <c r="HZ339" s="5">
        <v>-7.5617804658525897E-2</v>
      </c>
      <c r="IA339" s="5">
        <v>9.2394651163031499E-2</v>
      </c>
      <c r="IB339" s="5">
        <v>0.174311574300866</v>
      </c>
      <c r="IC339" s="5">
        <v>-0.20286074760374101</v>
      </c>
      <c r="ID339" s="5">
        <v>-0.17721263619587699</v>
      </c>
      <c r="IE339" s="5">
        <v>0.36691509928816401</v>
      </c>
      <c r="IF339" s="5">
        <v>-0.366071296909108</v>
      </c>
      <c r="IG339" s="5">
        <v>0.55934394196355197</v>
      </c>
      <c r="IH339" s="5">
        <v>-0.39892193883458399</v>
      </c>
      <c r="II339" s="5">
        <v>0.51283588541353697</v>
      </c>
      <c r="IJ339" s="5">
        <v>-4.3811416798407499E-2</v>
      </c>
      <c r="IK339" s="5">
        <v>0.17335148299176101</v>
      </c>
      <c r="IL339" s="5">
        <v>-0.21142338801220301</v>
      </c>
      <c r="IM339" s="5">
        <v>0.34836745120111601</v>
      </c>
      <c r="IN339" s="5">
        <v>-0.22745232596861301</v>
      </c>
      <c r="IO339" s="5">
        <v>0.45180903644929499</v>
      </c>
      <c r="IP339" s="5">
        <v>-0.27099424969511499</v>
      </c>
      <c r="IQ339" s="5">
        <v>0.40913449517679401</v>
      </c>
      <c r="IR339" s="5">
        <v>8.4904561707682402E-2</v>
      </c>
      <c r="IS339" s="5">
        <v>-3.8142787697148503E-2</v>
      </c>
      <c r="IT339" s="5">
        <v>-0.55573441709029103</v>
      </c>
      <c r="IU339" s="5">
        <v>0.74869125601661601</v>
      </c>
      <c r="IV339" s="5">
        <v>-0.53324900084140503</v>
      </c>
      <c r="IW339" s="5">
        <v>0.72942666271914303</v>
      </c>
      <c r="IX339" s="5">
        <v>-0.28193908626042302</v>
      </c>
      <c r="IY339" s="5">
        <v>0.44469275572886602</v>
      </c>
      <c r="IZ339" s="5">
        <v>-0.15943804034484901</v>
      </c>
      <c r="JA339" s="5">
        <v>0.19178523797414199</v>
      </c>
      <c r="JB339" s="5">
        <v>-0.340475049378682</v>
      </c>
      <c r="JC339" s="5">
        <v>0.41550670906793902</v>
      </c>
      <c r="JD339" s="5">
        <v>-0.14547201485862299</v>
      </c>
      <c r="JE339" s="5">
        <v>0.274079309333982</v>
      </c>
      <c r="JF339" s="5">
        <v>-0.17794196980968599</v>
      </c>
      <c r="JG339" s="5">
        <v>0.332000034442061</v>
      </c>
      <c r="JH339" s="5">
        <v>-8.2292885936915097E-2</v>
      </c>
      <c r="JI339" s="5">
        <v>0.10867140584104</v>
      </c>
      <c r="JJ339" s="5">
        <v>-0.28172370293124999</v>
      </c>
      <c r="JK339" s="5">
        <v>0.44769781988233598</v>
      </c>
      <c r="JL339" s="5">
        <v>-0.37594820268201601</v>
      </c>
      <c r="JM339" s="5">
        <v>0.51177213217834705</v>
      </c>
      <c r="JN339" s="5">
        <v>-0.29807626558412997</v>
      </c>
      <c r="JO339" s="5">
        <v>0.46610771969680298</v>
      </c>
      <c r="JP339" s="5">
        <v>-0.223626878366397</v>
      </c>
      <c r="JQ339" s="5">
        <v>0.45823397816431599</v>
      </c>
      <c r="JR339" s="5">
        <v>6.7286263416452094E-2</v>
      </c>
      <c r="JS339" s="5">
        <v>0.114282495670808</v>
      </c>
      <c r="JT339" s="5">
        <v>0.24907793775693601</v>
      </c>
      <c r="JU339" s="5">
        <v>-0.145833218953138</v>
      </c>
      <c r="JV339" s="5">
        <v>-2.72512086787597E-2</v>
      </c>
      <c r="JW339" s="5">
        <v>0.14344378179903</v>
      </c>
      <c r="JX339" s="5">
        <v>-0.14408450942984799</v>
      </c>
      <c r="JY339" s="5">
        <v>0.17556914335565901</v>
      </c>
      <c r="JZ339" s="5">
        <v>-0.47589297351675702</v>
      </c>
      <c r="KA339" s="5">
        <v>0.56059482446798103</v>
      </c>
      <c r="KB339" s="5">
        <v>-0.13461545520468499</v>
      </c>
      <c r="KC339" s="5">
        <v>0.162724194539105</v>
      </c>
      <c r="KD339" s="5">
        <v>7.4068951858907398E-2</v>
      </c>
      <c r="KE339" s="5">
        <v>-8.8653042880747296E-2</v>
      </c>
      <c r="KF339" s="5">
        <v>-0.17221199123952</v>
      </c>
      <c r="KG339" s="5">
        <v>0.31836144829651603</v>
      </c>
      <c r="KH339" s="5">
        <v>-0.11195323487698</v>
      </c>
      <c r="KI339" s="5">
        <v>0.132304559432145</v>
      </c>
      <c r="KJ339" s="5">
        <v>-0.305290535006144</v>
      </c>
      <c r="KK339" s="5">
        <v>0.430311847965406</v>
      </c>
      <c r="KL339" s="5">
        <v>-5.2696439558968799E-2</v>
      </c>
      <c r="KM339" s="5">
        <v>0.19415040153121499</v>
      </c>
      <c r="KN339" s="5">
        <v>-8.8046303416550495E-2</v>
      </c>
      <c r="KO339" s="5">
        <v>0.124081657075774</v>
      </c>
      <c r="KP339" s="5">
        <v>2.9684550623506001E-2</v>
      </c>
      <c r="KQ339" s="5">
        <v>-2.1894923694101402E-2</v>
      </c>
      <c r="KR339" s="5">
        <v>-0.255283027354126</v>
      </c>
      <c r="KS339" s="5">
        <v>0.37607998699023898</v>
      </c>
      <c r="KT339" s="5">
        <v>-0.36514410786600698</v>
      </c>
      <c r="KU339" s="5">
        <v>0.52326611530535705</v>
      </c>
      <c r="KV339" s="5">
        <v>-0.577372000593812</v>
      </c>
      <c r="KW339" s="5">
        <v>0.75231277109712003</v>
      </c>
      <c r="KX339" s="5">
        <v>-0.410022704476526</v>
      </c>
      <c r="KY339" s="5">
        <v>0.59360251373568695</v>
      </c>
      <c r="KZ339" s="5">
        <v>-0.12470881379806199</v>
      </c>
      <c r="LA339" s="5">
        <v>0.26645017081302402</v>
      </c>
      <c r="LB339" s="5">
        <v>-0.395507816944973</v>
      </c>
      <c r="LC339" s="5">
        <v>0.60825066381034798</v>
      </c>
      <c r="LD339" s="5">
        <v>-0.186322665256307</v>
      </c>
      <c r="LE339" s="5">
        <v>0.32516395100565698</v>
      </c>
      <c r="LF339" s="5">
        <v>-6.0152758362250501E-2</v>
      </c>
      <c r="LG339" s="5">
        <v>9.3311606421887405E-2</v>
      </c>
      <c r="LH339" s="5">
        <v>-0.269871827016196</v>
      </c>
      <c r="LI339" s="5">
        <v>0.44868149865290002</v>
      </c>
      <c r="LJ339" s="5">
        <v>-5.2199693178730702E-2</v>
      </c>
      <c r="LK339" s="5">
        <v>6.2809886059449802E-2</v>
      </c>
      <c r="LL339" s="5">
        <v>-0.29212313310994598</v>
      </c>
      <c r="LM339" s="5">
        <v>0.443544783044722</v>
      </c>
      <c r="LN339" s="5">
        <v>-0.19912635185074801</v>
      </c>
      <c r="LO339" s="5">
        <v>0.38823860095653001</v>
      </c>
      <c r="LP339" s="5">
        <v>-0.284431949268449</v>
      </c>
      <c r="LQ339" s="5">
        <v>0.520451997900787</v>
      </c>
      <c r="LR339" s="5">
        <v>-0.122950555707366</v>
      </c>
      <c r="LS339" s="5">
        <v>0.15051853984468699</v>
      </c>
      <c r="LT339" s="5">
        <v>-0.156596375178532</v>
      </c>
      <c r="LU339" s="5">
        <v>0.19277516874647799</v>
      </c>
      <c r="LV339" s="5">
        <v>-0.30963969021494198</v>
      </c>
      <c r="LW339" s="5">
        <v>0.35656782398757503</v>
      </c>
      <c r="LX339" s="5">
        <v>-0.21314665328683499</v>
      </c>
      <c r="LY339" s="5">
        <v>0.217957732024674</v>
      </c>
      <c r="LZ339" s="5">
        <v>-0.74804366390711796</v>
      </c>
      <c r="MA339" s="5">
        <v>1</v>
      </c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</row>
    <row r="340" spans="1:389" x14ac:dyDescent="0.45">
      <c r="A340" s="4" t="str">
        <f ca="1">"TGO / beta1dist in "&amp;CELL("address",'damages-1990'!$J$171)</f>
        <v>TGO / beta1dist in '[BHM betas v3pd.xlsx]damages-1990'!$J$171</v>
      </c>
      <c r="B340" s="6">
        <v>0.20931837041318899</v>
      </c>
      <c r="C340" s="5">
        <v>4.2447561536465998E-2</v>
      </c>
      <c r="D340" s="5">
        <v>0.63210643894263896</v>
      </c>
      <c r="E340" s="5">
        <v>-0.36988790068840999</v>
      </c>
      <c r="F340" s="5">
        <v>0.130831936145413</v>
      </c>
      <c r="G340" s="5">
        <v>1.39865725993614E-2</v>
      </c>
      <c r="H340" s="5">
        <v>-1.2238756262435899E-2</v>
      </c>
      <c r="I340" s="5">
        <v>-3.2000351531008997E-2</v>
      </c>
      <c r="J340" s="5">
        <v>0.53544669994678096</v>
      </c>
      <c r="K340" s="5">
        <v>-0.30293780715476998</v>
      </c>
      <c r="L340" s="5">
        <v>0.32673092434970102</v>
      </c>
      <c r="M340" s="5">
        <v>-5.0105114129319901E-2</v>
      </c>
      <c r="N340" s="5">
        <v>-0.10460568019012401</v>
      </c>
      <c r="O340" s="5">
        <v>0.121116275356623</v>
      </c>
      <c r="P340" s="5">
        <v>0.39101964935143901</v>
      </c>
      <c r="Q340" s="5">
        <v>-0.270149026619038</v>
      </c>
      <c r="R340" s="5">
        <v>0.56851020509839401</v>
      </c>
      <c r="S340" s="5">
        <v>-0.37908611146101401</v>
      </c>
      <c r="T340" s="5">
        <v>0.13287873653730101</v>
      </c>
      <c r="U340" s="5">
        <v>-0.170407328373433</v>
      </c>
      <c r="V340" s="5">
        <v>9.8830971379220894E-2</v>
      </c>
      <c r="W340" s="5">
        <v>0.22254781499687401</v>
      </c>
      <c r="X340" s="5">
        <v>0.59066146087173299</v>
      </c>
      <c r="Y340" s="5">
        <v>-0.33741537131365701</v>
      </c>
      <c r="Z340" s="5">
        <v>0.14136773754304099</v>
      </c>
      <c r="AA340" s="5">
        <v>-0.123956839186769</v>
      </c>
      <c r="AB340" s="5">
        <v>0.85229209291913099</v>
      </c>
      <c r="AC340" s="5">
        <v>-0.63506406802674598</v>
      </c>
      <c r="AD340" s="5">
        <v>0.74308117916129601</v>
      </c>
      <c r="AE340" s="5">
        <v>-0.47563150170711199</v>
      </c>
      <c r="AF340" s="5">
        <v>0.159887919418954</v>
      </c>
      <c r="AG340" s="5">
        <v>4.8534021975489103E-2</v>
      </c>
      <c r="AH340" s="5">
        <v>0.129878132663857</v>
      </c>
      <c r="AI340" s="5">
        <v>-2.6396901760209E-2</v>
      </c>
      <c r="AJ340" s="5">
        <v>0.410761595253958</v>
      </c>
      <c r="AK340" s="5">
        <v>-0.20702489672604399</v>
      </c>
      <c r="AL340" s="5">
        <v>0.218754232615714</v>
      </c>
      <c r="AM340" s="5">
        <v>-8.5757665337585706E-2</v>
      </c>
      <c r="AN340" s="5">
        <v>8.70400909724727E-2</v>
      </c>
      <c r="AO340" s="5">
        <v>-3.4162931752709999E-2</v>
      </c>
      <c r="AP340" s="5">
        <v>0.109240724092959</v>
      </c>
      <c r="AQ340" s="5">
        <v>-0.129909185784367</v>
      </c>
      <c r="AR340" s="5">
        <v>0.42183561261751501</v>
      </c>
      <c r="AS340" s="5">
        <v>-0.24858993857161699</v>
      </c>
      <c r="AT340" s="5">
        <v>8.9775800991539201E-2</v>
      </c>
      <c r="AU340" s="5">
        <v>6.1468866531020398E-2</v>
      </c>
      <c r="AV340" s="5">
        <v>0.55680544144747601</v>
      </c>
      <c r="AW340" s="5">
        <v>-0.41676213348777102</v>
      </c>
      <c r="AX340" s="5">
        <v>0.59384297032817501</v>
      </c>
      <c r="AY340" s="5">
        <v>-0.44969526144707</v>
      </c>
      <c r="AZ340" s="5">
        <v>0.42704754296165098</v>
      </c>
      <c r="BA340" s="5">
        <v>-0.30942047276600698</v>
      </c>
      <c r="BB340" s="5">
        <v>0.606059440296425</v>
      </c>
      <c r="BC340" s="5">
        <v>-0.34309859276193799</v>
      </c>
      <c r="BD340" s="5">
        <v>0.100997613581431</v>
      </c>
      <c r="BE340" s="5">
        <v>0.125740192377506</v>
      </c>
      <c r="BF340" s="5">
        <v>0.57260426348843396</v>
      </c>
      <c r="BG340" s="5">
        <v>-0.38832219209513702</v>
      </c>
      <c r="BH340" s="5">
        <v>0.72908590645553395</v>
      </c>
      <c r="BI340" s="5">
        <v>-0.489507656287542</v>
      </c>
      <c r="BJ340" s="5">
        <v>-0.241148743531545</v>
      </c>
      <c r="BK340" s="5">
        <v>0.25985110387752902</v>
      </c>
      <c r="BL340" s="5">
        <v>0.131903569116021</v>
      </c>
      <c r="BM340" s="5">
        <v>-0.18709931301361801</v>
      </c>
      <c r="BN340" s="5">
        <v>-0.175672115823923</v>
      </c>
      <c r="BO340" s="5">
        <v>0.26798960734506599</v>
      </c>
      <c r="BP340" s="5">
        <v>-0.122592192663944</v>
      </c>
      <c r="BQ340" s="5">
        <v>0.240166655823675</v>
      </c>
      <c r="BR340" s="5">
        <v>0.76768561616048103</v>
      </c>
      <c r="BS340" s="5">
        <v>-0.51310288012148497</v>
      </c>
      <c r="BT340" s="5">
        <v>0.76160120417716903</v>
      </c>
      <c r="BU340" s="5">
        <v>-0.57290285192646795</v>
      </c>
      <c r="BV340" s="5">
        <v>0.71162429954096895</v>
      </c>
      <c r="BW340" s="5">
        <v>-0.45953567079056701</v>
      </c>
      <c r="BX340" s="5">
        <v>0.76134638010759104</v>
      </c>
      <c r="BY340" s="5">
        <v>-0.55212304425925895</v>
      </c>
      <c r="BZ340" s="5">
        <v>0.67867434312291097</v>
      </c>
      <c r="CA340" s="5">
        <v>-0.47095725182473203</v>
      </c>
      <c r="CB340" s="5">
        <v>0.42062051010400398</v>
      </c>
      <c r="CC340" s="5">
        <v>-0.32480922624659098</v>
      </c>
      <c r="CD340" s="5">
        <v>0.173847662799892</v>
      </c>
      <c r="CE340" s="5">
        <v>-2.3699629998264301E-2</v>
      </c>
      <c r="CF340" s="5">
        <v>0.49038615767226501</v>
      </c>
      <c r="CG340" s="5">
        <v>-0.33761722063326399</v>
      </c>
      <c r="CH340" s="5">
        <v>0.20643443037408099</v>
      </c>
      <c r="CI340" s="5">
        <v>-8.77940340157808E-2</v>
      </c>
      <c r="CJ340" s="5">
        <v>4.4058689846808399E-2</v>
      </c>
      <c r="CK340" s="5">
        <v>6.27441252792066E-2</v>
      </c>
      <c r="CL340" s="5">
        <v>0.141421145517517</v>
      </c>
      <c r="CM340" s="5">
        <v>-0.15160289558701301</v>
      </c>
      <c r="CN340" s="5">
        <v>0.14804407476946399</v>
      </c>
      <c r="CO340" s="5">
        <v>-0.14682154010746801</v>
      </c>
      <c r="CP340" s="5">
        <v>0.43622186074906</v>
      </c>
      <c r="CQ340" s="5">
        <v>-0.202988331565983</v>
      </c>
      <c r="CR340" s="5">
        <v>0.36748275493779098</v>
      </c>
      <c r="CS340" s="5">
        <v>-0.23257823328104299</v>
      </c>
      <c r="CT340" s="5">
        <v>0.17071947803024401</v>
      </c>
      <c r="CU340" s="5">
        <v>-0.19913063533751599</v>
      </c>
      <c r="CV340" s="5">
        <v>0.61446432666994499</v>
      </c>
      <c r="CW340" s="5">
        <v>-0.45627041106349198</v>
      </c>
      <c r="CX340" s="5">
        <v>0.57829203920237804</v>
      </c>
      <c r="CY340" s="5">
        <v>-0.38384295395700002</v>
      </c>
      <c r="CZ340" s="5">
        <v>0.66387501274894001</v>
      </c>
      <c r="DA340" s="5">
        <v>-0.50544670360431199</v>
      </c>
      <c r="DB340" s="5">
        <v>0.40520576792158702</v>
      </c>
      <c r="DC340" s="5">
        <v>-0.16781708587163499</v>
      </c>
      <c r="DD340" s="5">
        <v>0.50599433948442496</v>
      </c>
      <c r="DE340" s="5">
        <v>-0.248688225445553</v>
      </c>
      <c r="DF340" s="5">
        <v>0.28531378994692802</v>
      </c>
      <c r="DG340" s="5">
        <v>-7.5719084302314402E-2</v>
      </c>
      <c r="DH340" s="5">
        <v>0.204985834416338</v>
      </c>
      <c r="DI340" s="5">
        <v>-5.0270205967688601E-2</v>
      </c>
      <c r="DJ340" s="5">
        <v>8.5610419451396302E-2</v>
      </c>
      <c r="DK340" s="5">
        <v>-0.135144995085759</v>
      </c>
      <c r="DL340" s="5">
        <v>0.47892433920933902</v>
      </c>
      <c r="DM340" s="5">
        <v>-0.21479504798753199</v>
      </c>
      <c r="DN340" s="5">
        <v>1.9077565848552702E-2</v>
      </c>
      <c r="DO340" s="5">
        <v>-9.7999343219649093E-2</v>
      </c>
      <c r="DP340" s="5">
        <v>0.31837582431607597</v>
      </c>
      <c r="DQ340" s="5">
        <v>-8.4257954147521394E-2</v>
      </c>
      <c r="DR340" s="5">
        <v>0.139833281453599</v>
      </c>
      <c r="DS340" s="5">
        <v>-6.7591175655045702E-2</v>
      </c>
      <c r="DT340" s="5">
        <v>0.18256741804860499</v>
      </c>
      <c r="DU340" s="5">
        <v>-3.44697975562697E-2</v>
      </c>
      <c r="DV340" s="5">
        <v>0.75180497171730998</v>
      </c>
      <c r="DW340" s="5">
        <v>-0.581905827387043</v>
      </c>
      <c r="DX340" s="5">
        <v>8.5363315251975699E-2</v>
      </c>
      <c r="DY340" s="5">
        <v>-9.6406660579556699E-2</v>
      </c>
      <c r="DZ340" s="5">
        <v>-1.02222610095552E-2</v>
      </c>
      <c r="EA340" s="5">
        <v>3.2290562412341699E-3</v>
      </c>
      <c r="EB340" s="5">
        <v>0.82739044191475997</v>
      </c>
      <c r="EC340" s="5">
        <v>-0.57150158558431796</v>
      </c>
      <c r="ED340" s="5">
        <v>0.78143964406969901</v>
      </c>
      <c r="EE340" s="5">
        <v>-0.50174385000546096</v>
      </c>
      <c r="EF340" s="5">
        <v>0.37306281245301198</v>
      </c>
      <c r="EG340" s="5">
        <v>-0.247720014170453</v>
      </c>
      <c r="EH340" s="5">
        <v>0.59036069760255905</v>
      </c>
      <c r="EI340" s="5">
        <v>-0.33912744557764701</v>
      </c>
      <c r="EJ340" s="5">
        <v>0.65364953717100005</v>
      </c>
      <c r="EK340" s="5">
        <v>-0.39949529221521501</v>
      </c>
      <c r="EL340" s="5">
        <v>0.70733179520000899</v>
      </c>
      <c r="EM340" s="5">
        <v>-0.51707681925464699</v>
      </c>
      <c r="EN340" s="5">
        <v>0.17604554937918701</v>
      </c>
      <c r="EO340" s="5">
        <v>-1.8422455362151698E-2</v>
      </c>
      <c r="EP340" s="5">
        <v>0.49677705470826999</v>
      </c>
      <c r="EQ340" s="5">
        <v>-0.38627226915885099</v>
      </c>
      <c r="ER340" s="5">
        <v>0.44315710703329297</v>
      </c>
      <c r="ES340" s="5">
        <v>-0.23381815057879099</v>
      </c>
      <c r="ET340" s="5">
        <v>0.42319651780707102</v>
      </c>
      <c r="EU340" s="5">
        <v>-0.33092276836761902</v>
      </c>
      <c r="EV340" s="5">
        <v>0.44467376543996201</v>
      </c>
      <c r="EW340" s="5">
        <v>-0.37475329132649798</v>
      </c>
      <c r="EX340" s="5">
        <v>0.161724509575572</v>
      </c>
      <c r="EY340" s="5">
        <v>-8.34313912374718E-2</v>
      </c>
      <c r="EZ340" s="5">
        <v>0.45265320364510198</v>
      </c>
      <c r="FA340" s="5">
        <v>-0.26668227056037203</v>
      </c>
      <c r="FB340" s="5">
        <v>0.13112049251265001</v>
      </c>
      <c r="FC340" s="5">
        <v>-1.5879788897961301E-2</v>
      </c>
      <c r="FD340" s="5">
        <v>0.515200470945677</v>
      </c>
      <c r="FE340" s="5">
        <v>-0.35618140513231</v>
      </c>
      <c r="FF340" s="5">
        <v>0.12240690447882301</v>
      </c>
      <c r="FG340" s="5">
        <v>-4.0866984888888201E-2</v>
      </c>
      <c r="FH340" s="5">
        <v>0.51892586273941299</v>
      </c>
      <c r="FI340" s="5">
        <v>-0.32226761383724201</v>
      </c>
      <c r="FJ340" s="5">
        <v>0.45686129306241602</v>
      </c>
      <c r="FK340" s="5">
        <v>-0.179911712372751</v>
      </c>
      <c r="FL340" s="5">
        <v>-3.8343035076059302E-2</v>
      </c>
      <c r="FM340" s="5">
        <v>7.7505706496587598E-2</v>
      </c>
      <c r="FN340" s="5">
        <v>0.39890236654969602</v>
      </c>
      <c r="FO340" s="5">
        <v>-0.13375542702366</v>
      </c>
      <c r="FP340" s="5">
        <v>0.38826458359590699</v>
      </c>
      <c r="FQ340" s="5">
        <v>-0.145000433528859</v>
      </c>
      <c r="FR340" s="5">
        <v>-0.129094127163419</v>
      </c>
      <c r="FS340" s="5">
        <v>0.11674028111581999</v>
      </c>
      <c r="FT340" s="5">
        <v>0.29456252746679601</v>
      </c>
      <c r="FU340" s="5">
        <v>-6.32340834142434E-2</v>
      </c>
      <c r="FV340" s="5">
        <v>0.163167502540322</v>
      </c>
      <c r="FW340" s="5">
        <v>3.89870251940135E-3</v>
      </c>
      <c r="FX340" s="5">
        <v>0.41220997172180601</v>
      </c>
      <c r="FY340" s="5">
        <v>-0.28565259484519601</v>
      </c>
      <c r="FZ340" s="5">
        <v>0.38995889116425297</v>
      </c>
      <c r="GA340" s="5">
        <v>-0.13261692952517701</v>
      </c>
      <c r="GB340" s="5">
        <v>0.116997900970922</v>
      </c>
      <c r="GC340" s="5">
        <v>2.8048614695946199E-2</v>
      </c>
      <c r="GD340" s="5">
        <v>-0.13825420566121899</v>
      </c>
      <c r="GE340" s="5">
        <v>0.130394348883139</v>
      </c>
      <c r="GF340" s="5">
        <v>0.31201424904487601</v>
      </c>
      <c r="GG340" s="5">
        <v>-9.8916909586049401E-2</v>
      </c>
      <c r="GH340" s="5">
        <v>-0.40564451175387101</v>
      </c>
      <c r="GI340" s="5">
        <v>0.39045456798043299</v>
      </c>
      <c r="GJ340" s="5">
        <v>0.55241594712703601</v>
      </c>
      <c r="GK340" s="5">
        <v>-0.49375106250433798</v>
      </c>
      <c r="GL340" s="5">
        <v>0.47538702360733898</v>
      </c>
      <c r="GM340" s="5">
        <v>-0.34119445396255399</v>
      </c>
      <c r="GN340" s="5">
        <v>0.160512118400568</v>
      </c>
      <c r="GO340" s="5">
        <v>-2.4844953256920401E-2</v>
      </c>
      <c r="GP340" s="5">
        <v>0.43138166692248903</v>
      </c>
      <c r="GQ340" s="5">
        <v>-0.212752115434023</v>
      </c>
      <c r="GR340" s="5">
        <v>0.57670932187885404</v>
      </c>
      <c r="GS340" s="5">
        <v>-0.50832404466650205</v>
      </c>
      <c r="GT340" s="5">
        <v>0.16261603841422501</v>
      </c>
      <c r="GU340" s="5">
        <v>0.100750631220031</v>
      </c>
      <c r="GV340" s="5">
        <v>0.76225616198014101</v>
      </c>
      <c r="GW340" s="5">
        <v>-0.60973113544244595</v>
      </c>
      <c r="GX340" s="5">
        <v>0.48342041514529999</v>
      </c>
      <c r="GY340" s="5">
        <v>-0.31339789694735798</v>
      </c>
      <c r="GZ340" s="5">
        <v>0.13057296716043501</v>
      </c>
      <c r="HA340" s="5">
        <v>-0.17845014123397701</v>
      </c>
      <c r="HB340" s="5">
        <v>0.42267551221749</v>
      </c>
      <c r="HC340" s="5">
        <v>-0.24814783690580799</v>
      </c>
      <c r="HD340" s="5">
        <v>0.10876506528796</v>
      </c>
      <c r="HE340" s="5">
        <v>0.18185790257245399</v>
      </c>
      <c r="HF340" s="5">
        <v>0.12030892635915499</v>
      </c>
      <c r="HG340" s="5">
        <v>-0.149547452052056</v>
      </c>
      <c r="HH340" s="5">
        <v>0.13538715236197801</v>
      </c>
      <c r="HI340" s="5">
        <v>-0.12569210996507499</v>
      </c>
      <c r="HJ340" s="5">
        <v>0.114880409919575</v>
      </c>
      <c r="HK340" s="5">
        <v>-0.154177627700329</v>
      </c>
      <c r="HL340" s="5">
        <v>0.352610709919707</v>
      </c>
      <c r="HM340" s="5">
        <v>-0.16258357034047899</v>
      </c>
      <c r="HN340" s="5">
        <v>0.110047784557101</v>
      </c>
      <c r="HO340" s="5">
        <v>-4.6748031682813003E-2</v>
      </c>
      <c r="HP340" s="5">
        <v>0.42773940923981801</v>
      </c>
      <c r="HQ340" s="5">
        <v>-0.22862875842174901</v>
      </c>
      <c r="HR340" s="5">
        <v>0.42497810467070901</v>
      </c>
      <c r="HS340" s="5">
        <v>-0.224626273158403</v>
      </c>
      <c r="HT340" s="5">
        <v>0.11221395695504</v>
      </c>
      <c r="HU340" s="5">
        <v>-1.9426039522501701E-2</v>
      </c>
      <c r="HV340" s="5">
        <v>0.66266305130061998</v>
      </c>
      <c r="HW340" s="5">
        <v>-0.423258316080176</v>
      </c>
      <c r="HX340" s="5">
        <v>0.59518006952751501</v>
      </c>
      <c r="HY340" s="5">
        <v>-0.407496685741215</v>
      </c>
      <c r="HZ340" s="5">
        <v>5.2505878043420502E-2</v>
      </c>
      <c r="IA340" s="5">
        <v>-2.5379949989528101E-2</v>
      </c>
      <c r="IB340" s="5">
        <v>-0.213681756511055</v>
      </c>
      <c r="IC340" s="5">
        <v>0.17906668163928099</v>
      </c>
      <c r="ID340" s="5">
        <v>0.60779098493128403</v>
      </c>
      <c r="IE340" s="5">
        <v>-0.43186614879400798</v>
      </c>
      <c r="IF340" s="5">
        <v>0.57111998123705399</v>
      </c>
      <c r="IG340" s="5">
        <v>-0.32274779328759801</v>
      </c>
      <c r="IH340" s="5">
        <v>0.396001462195468</v>
      </c>
      <c r="II340" s="5">
        <v>-0.26408473620343298</v>
      </c>
      <c r="IJ340" s="5">
        <v>0.320449849846414</v>
      </c>
      <c r="IK340" s="5">
        <v>-0.24575510741208301</v>
      </c>
      <c r="IL340" s="5">
        <v>0.57221513308732896</v>
      </c>
      <c r="IM340" s="5">
        <v>-0.38413450014019102</v>
      </c>
      <c r="IN340" s="5">
        <v>0.58430671794944899</v>
      </c>
      <c r="IO340" s="5">
        <v>-0.37103414111819599</v>
      </c>
      <c r="IP340" s="5">
        <v>0.58002260237564796</v>
      </c>
      <c r="IQ340" s="5">
        <v>-0.328778024033275</v>
      </c>
      <c r="IR340" s="5">
        <v>8.7250198494234599E-2</v>
      </c>
      <c r="IS340" s="5">
        <v>0.134173140072953</v>
      </c>
      <c r="IT340" s="5">
        <v>0.62713092072813403</v>
      </c>
      <c r="IU340" s="5">
        <v>-0.416692572090126</v>
      </c>
      <c r="IV340" s="5">
        <v>0.80164064416080605</v>
      </c>
      <c r="IW340" s="5">
        <v>-0.59990633254453396</v>
      </c>
      <c r="IX340" s="5">
        <v>0.49399777058922401</v>
      </c>
      <c r="IY340" s="5">
        <v>-0.34168208598265998</v>
      </c>
      <c r="IZ340" s="5">
        <v>0.17349040010890701</v>
      </c>
      <c r="JA340" s="5">
        <v>-0.17013174042219101</v>
      </c>
      <c r="JB340" s="5">
        <v>7.1524884343543801E-2</v>
      </c>
      <c r="JC340" s="5">
        <v>-0.18207889369879299</v>
      </c>
      <c r="JD340" s="5">
        <v>0.19574945780957501</v>
      </c>
      <c r="JE340" s="5">
        <v>8.5524130748998103E-2</v>
      </c>
      <c r="JF340" s="5">
        <v>0.43068181799824201</v>
      </c>
      <c r="JG340" s="5">
        <v>-0.37243543580083099</v>
      </c>
      <c r="JH340" s="5">
        <v>0.107878365651849</v>
      </c>
      <c r="JI340" s="5">
        <v>-5.2822168146495797E-2</v>
      </c>
      <c r="JJ340" s="5">
        <v>0.55595285027812003</v>
      </c>
      <c r="JK340" s="5">
        <v>-0.276997686411388</v>
      </c>
      <c r="JL340" s="5">
        <v>0.39478525657611602</v>
      </c>
      <c r="JM340" s="5">
        <v>-0.16311955554245999</v>
      </c>
      <c r="JN340" s="5">
        <v>0.72996719266235599</v>
      </c>
      <c r="JO340" s="5">
        <v>-0.58901877351161103</v>
      </c>
      <c r="JP340" s="5">
        <v>0.55513717212222902</v>
      </c>
      <c r="JQ340" s="5">
        <v>-0.32199305966420599</v>
      </c>
      <c r="JR340" s="5">
        <v>0.39155547702438598</v>
      </c>
      <c r="JS340" s="5">
        <v>-0.153433093323433</v>
      </c>
      <c r="JT340" s="5">
        <v>4.8976837930211001E-2</v>
      </c>
      <c r="JU340" s="5">
        <v>0.148847589116894</v>
      </c>
      <c r="JV340" s="5">
        <v>0.53475534091561805</v>
      </c>
      <c r="JW340" s="5">
        <v>-0.35041491936318098</v>
      </c>
      <c r="JX340" s="5">
        <v>0.13795404686134</v>
      </c>
      <c r="JY340" s="5">
        <v>-0.141258011721418</v>
      </c>
      <c r="JZ340" s="5">
        <v>0.48145177752608198</v>
      </c>
      <c r="KA340" s="5">
        <v>-0.322895591741512</v>
      </c>
      <c r="KB340" s="5">
        <v>0.120946811714809</v>
      </c>
      <c r="KC340" s="5">
        <v>-0.16443422831860399</v>
      </c>
      <c r="KD340" s="5">
        <v>0.136054693448321</v>
      </c>
      <c r="KE340" s="5">
        <v>2.2694161542484499E-2</v>
      </c>
      <c r="KF340" s="5">
        <v>0.54281250308691098</v>
      </c>
      <c r="KG340" s="5">
        <v>-0.38431646836017203</v>
      </c>
      <c r="KH340" s="5">
        <v>0.26811731259534399</v>
      </c>
      <c r="KI340" s="5">
        <v>-4.1683350195028897E-2</v>
      </c>
      <c r="KJ340" s="5">
        <v>0.44873484453123003</v>
      </c>
      <c r="KK340" s="5">
        <v>-0.23866152803125101</v>
      </c>
      <c r="KL340" s="5">
        <v>0.30041183413985001</v>
      </c>
      <c r="KM340" s="5">
        <v>-0.18508456261811099</v>
      </c>
      <c r="KN340" s="5">
        <v>9.9224903521273805E-2</v>
      </c>
      <c r="KO340" s="5">
        <v>-5.4508391090135097E-2</v>
      </c>
      <c r="KP340" s="5">
        <v>-0.15196257975629399</v>
      </c>
      <c r="KQ340" s="5">
        <v>8.0618198814914194E-2</v>
      </c>
      <c r="KR340" s="5">
        <v>0.60858858446873598</v>
      </c>
      <c r="KS340" s="5">
        <v>-0.36222921861902202</v>
      </c>
      <c r="KT340" s="5">
        <v>0.53720296053751804</v>
      </c>
      <c r="KU340" s="5">
        <v>-0.31724203429520498</v>
      </c>
      <c r="KV340" s="5">
        <v>0.59139937087587802</v>
      </c>
      <c r="KW340" s="5">
        <v>-0.34420491171768097</v>
      </c>
      <c r="KX340" s="5">
        <v>0.61521083191750503</v>
      </c>
      <c r="KY340" s="5">
        <v>-0.34189109874427998</v>
      </c>
      <c r="KZ340" s="5">
        <v>0.44510451932891099</v>
      </c>
      <c r="LA340" s="5">
        <v>-0.326435616696029</v>
      </c>
      <c r="LB340" s="5">
        <v>0.63684159835569998</v>
      </c>
      <c r="LC340" s="5">
        <v>-0.43129974263772902</v>
      </c>
      <c r="LD340" s="5">
        <v>0.472967886998023</v>
      </c>
      <c r="LE340" s="5">
        <v>-0.28749927550702897</v>
      </c>
      <c r="LF340" s="5">
        <v>0.12739354971017</v>
      </c>
      <c r="LG340" s="5">
        <v>-9.0660364539237193E-3</v>
      </c>
      <c r="LH340" s="5">
        <v>0.46756847968981402</v>
      </c>
      <c r="LI340" s="5">
        <v>-0.23309855028488299</v>
      </c>
      <c r="LJ340" s="5">
        <v>0.12760471274309701</v>
      </c>
      <c r="LK340" s="5">
        <v>-2.5809948832451201E-2</v>
      </c>
      <c r="LL340" s="5">
        <v>0.55920597078710998</v>
      </c>
      <c r="LM340" s="5">
        <v>-0.363631312146034</v>
      </c>
      <c r="LN340" s="5">
        <v>0.60601991678853695</v>
      </c>
      <c r="LO340" s="5">
        <v>-0.472808513159303</v>
      </c>
      <c r="LP340" s="5">
        <v>0.34650542515387001</v>
      </c>
      <c r="LQ340" s="5">
        <v>-0.322199565924422</v>
      </c>
      <c r="LR340" s="5">
        <v>9.8471637113614299E-2</v>
      </c>
      <c r="LS340" s="5">
        <v>-0.106402215372917</v>
      </c>
      <c r="LT340" s="5">
        <v>0.123062144370823</v>
      </c>
      <c r="LU340" s="5">
        <v>-0.102753997587527</v>
      </c>
      <c r="LV340" s="5">
        <v>0.10601829669925</v>
      </c>
      <c r="LW340" s="5">
        <v>-0.18426409240738501</v>
      </c>
      <c r="LX340" s="5">
        <v>0.28417051354359502</v>
      </c>
      <c r="LY340" s="5">
        <v>-2.6187007709073801E-2</v>
      </c>
      <c r="LZ340" s="5">
        <v>0.65504951771190101</v>
      </c>
      <c r="MA340" s="5">
        <v>-0.46988831488559202</v>
      </c>
      <c r="MB340" s="5">
        <v>1</v>
      </c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</row>
    <row r="341" spans="1:389" x14ac:dyDescent="0.45">
      <c r="A341" s="4" t="str">
        <f ca="1">"TGO / beta2dist in "&amp;CELL("address",'damages-1990'!$K$171)</f>
        <v>TGO / beta2dist in '[BHM betas v3pd.xlsx]damages-1990'!$K$171</v>
      </c>
      <c r="B341" s="6">
        <v>-0.118314027774462</v>
      </c>
      <c r="C341" s="5">
        <v>0.24490652607473601</v>
      </c>
      <c r="D341" s="5">
        <v>-0.37516822852285697</v>
      </c>
      <c r="E341" s="5">
        <v>0.61242011006681796</v>
      </c>
      <c r="F341" s="5">
        <v>-2.7307049840516798E-2</v>
      </c>
      <c r="G341" s="5">
        <v>8.0657594518204007E-2</v>
      </c>
      <c r="H341" s="5">
        <v>-1.37442710710616E-2</v>
      </c>
      <c r="I341" s="5">
        <v>-3.4126457704349203E-2</v>
      </c>
      <c r="J341" s="5">
        <v>-0.28830547838276999</v>
      </c>
      <c r="K341" s="5">
        <v>0.476274412717621</v>
      </c>
      <c r="L341" s="5">
        <v>-7.0316509096104596E-2</v>
      </c>
      <c r="M341" s="5">
        <v>0.131418194409963</v>
      </c>
      <c r="N341" s="5">
        <v>4.6193460896524E-2</v>
      </c>
      <c r="O341" s="5">
        <v>-7.7223502857596896E-2</v>
      </c>
      <c r="P341" s="5">
        <v>-0.44132482165318199</v>
      </c>
      <c r="Q341" s="5">
        <v>0.57686529843310297</v>
      </c>
      <c r="R341" s="5">
        <v>-0.27686554702190003</v>
      </c>
      <c r="S341" s="5">
        <v>0.54155380720319901</v>
      </c>
      <c r="T341" s="5">
        <v>-0.22922467990706299</v>
      </c>
      <c r="U341" s="5">
        <v>0.25322247598985897</v>
      </c>
      <c r="V341" s="5">
        <v>6.2845007984988502E-2</v>
      </c>
      <c r="W341" s="5">
        <v>-8.7472318627123499E-2</v>
      </c>
      <c r="X341" s="5">
        <v>-0.36962707186912602</v>
      </c>
      <c r="Y341" s="5">
        <v>0.56907775013444795</v>
      </c>
      <c r="Z341" s="5">
        <v>-0.14660907439135301</v>
      </c>
      <c r="AA341" s="5">
        <v>0.20001353588575399</v>
      </c>
      <c r="AB341" s="5">
        <v>-0.62359887511366796</v>
      </c>
      <c r="AC341" s="5">
        <v>0.85593117403430596</v>
      </c>
      <c r="AD341" s="5">
        <v>-0.56853722036953003</v>
      </c>
      <c r="AE341" s="5">
        <v>0.754114512390192</v>
      </c>
      <c r="AF341" s="5">
        <v>-2.1404784408977601E-2</v>
      </c>
      <c r="AG341" s="5">
        <v>0.19321000304990599</v>
      </c>
      <c r="AH341" s="5">
        <v>-5.6843006087358497E-2</v>
      </c>
      <c r="AI341" s="5">
        <v>0.106996249185875</v>
      </c>
      <c r="AJ341" s="5">
        <v>-0.23333581510410401</v>
      </c>
      <c r="AK341" s="5">
        <v>0.40590794676417502</v>
      </c>
      <c r="AL341" s="5">
        <v>0.123314599815752</v>
      </c>
      <c r="AM341" s="5">
        <v>-5.8858436814726398E-2</v>
      </c>
      <c r="AN341" s="5">
        <v>-0.126091774770342</v>
      </c>
      <c r="AO341" s="5">
        <v>0.16275745750950399</v>
      </c>
      <c r="AP341" s="5">
        <v>-0.238615805433291</v>
      </c>
      <c r="AQ341" s="5">
        <v>0.276653333264748</v>
      </c>
      <c r="AR341" s="5">
        <v>-0.15054119784768499</v>
      </c>
      <c r="AS341" s="5">
        <v>0.32887698957309403</v>
      </c>
      <c r="AT341" s="5">
        <v>0.21700542987428401</v>
      </c>
      <c r="AU341" s="5">
        <v>-0.17775949950018599</v>
      </c>
      <c r="AV341" s="5">
        <v>-0.24740558272000701</v>
      </c>
      <c r="AW341" s="5">
        <v>0.58672532893409202</v>
      </c>
      <c r="AX341" s="5">
        <v>-0.30783180530895499</v>
      </c>
      <c r="AY341" s="5">
        <v>0.63827050664936202</v>
      </c>
      <c r="AZ341" s="5">
        <v>-0.44204578651600102</v>
      </c>
      <c r="BA341" s="5">
        <v>0.58193988199392299</v>
      </c>
      <c r="BB341" s="5">
        <v>-0.27273255297257998</v>
      </c>
      <c r="BC341" s="5">
        <v>0.48897737815950099</v>
      </c>
      <c r="BD341" s="5">
        <v>-7.3776163976605594E-2</v>
      </c>
      <c r="BE341" s="5">
        <v>0.162302418937357</v>
      </c>
      <c r="BF341" s="5">
        <v>-0.33235240521130399</v>
      </c>
      <c r="BG341" s="5">
        <v>0.52293065783179304</v>
      </c>
      <c r="BH341" s="5">
        <v>-0.47993297584359901</v>
      </c>
      <c r="BI341" s="5">
        <v>0.75092333097058495</v>
      </c>
      <c r="BJ341" s="5">
        <v>2.1159149474353E-2</v>
      </c>
      <c r="BK341" s="5">
        <v>-0.24769085619565601</v>
      </c>
      <c r="BL341" s="5">
        <v>-0.23851008010762201</v>
      </c>
      <c r="BM341" s="5">
        <v>0.243829131647229</v>
      </c>
      <c r="BN341" s="5">
        <v>0.104004881729649</v>
      </c>
      <c r="BO341" s="5">
        <v>-0.181094374426018</v>
      </c>
      <c r="BP341" s="5">
        <v>6.7456181245270502E-2</v>
      </c>
      <c r="BQ341" s="5">
        <v>-0.20715495687041899</v>
      </c>
      <c r="BR341" s="5">
        <v>-0.61692484595593799</v>
      </c>
      <c r="BS341" s="5">
        <v>0.80942272786756198</v>
      </c>
      <c r="BT341" s="5">
        <v>-0.46520787716900802</v>
      </c>
      <c r="BU341" s="5">
        <v>0.80016864833504198</v>
      </c>
      <c r="BV341" s="5">
        <v>-0.43553935466674398</v>
      </c>
      <c r="BW341" s="5">
        <v>0.68644186576777699</v>
      </c>
      <c r="BX341" s="5">
        <v>-0.47409333303318402</v>
      </c>
      <c r="BY341" s="5">
        <v>0.73681594302880704</v>
      </c>
      <c r="BZ341" s="5">
        <v>-0.44134459068853699</v>
      </c>
      <c r="CA341" s="5">
        <v>0.69304072901557701</v>
      </c>
      <c r="CB341" s="5">
        <v>-0.17787314120592701</v>
      </c>
      <c r="CC341" s="5">
        <v>0.40227479290608698</v>
      </c>
      <c r="CD341" s="5">
        <v>-0.119248344591644</v>
      </c>
      <c r="CE341" s="5">
        <v>0.23838912377563901</v>
      </c>
      <c r="CF341" s="5">
        <v>-0.42220669970209501</v>
      </c>
      <c r="CG341" s="5">
        <v>0.58309940796469795</v>
      </c>
      <c r="CH341" s="5">
        <v>0.151480450319738</v>
      </c>
      <c r="CI341" s="5">
        <v>-7.3588680034227499E-2</v>
      </c>
      <c r="CJ341" s="5">
        <v>0.10526035951172</v>
      </c>
      <c r="CK341" s="5">
        <v>-1.6655566591104499E-2</v>
      </c>
      <c r="CL341" s="5">
        <v>-0.179485808449248</v>
      </c>
      <c r="CM341" s="5">
        <v>0.21290432522921601</v>
      </c>
      <c r="CN341" s="5">
        <v>-0.16695206984889499</v>
      </c>
      <c r="CO341" s="5">
        <v>0.20492647566976499</v>
      </c>
      <c r="CP341" s="5">
        <v>-0.44035403893366798</v>
      </c>
      <c r="CQ341" s="5">
        <v>0.53985601419780904</v>
      </c>
      <c r="CR341" s="5">
        <v>-0.393017556237862</v>
      </c>
      <c r="CS341" s="5">
        <v>0.53400304537327004</v>
      </c>
      <c r="CT341" s="5">
        <v>-0.21832639238478499</v>
      </c>
      <c r="CU341" s="5">
        <v>0.261016034482905</v>
      </c>
      <c r="CV341" s="5">
        <v>-0.47424443268407201</v>
      </c>
      <c r="CW341" s="5">
        <v>0.61356256123387298</v>
      </c>
      <c r="CX341" s="5">
        <v>-0.37065395837551601</v>
      </c>
      <c r="CY341" s="5">
        <v>0.60154889366072795</v>
      </c>
      <c r="CZ341" s="5">
        <v>-0.442792670166055</v>
      </c>
      <c r="DA341" s="5">
        <v>0.682261125903455</v>
      </c>
      <c r="DB341" s="5">
        <v>-0.15424394219739901</v>
      </c>
      <c r="DC341" s="5">
        <v>0.29584612858276899</v>
      </c>
      <c r="DD341" s="5">
        <v>-0.44526525146006002</v>
      </c>
      <c r="DE341" s="5">
        <v>0.57994720862124305</v>
      </c>
      <c r="DF341" s="5">
        <v>-0.18639629897695201</v>
      </c>
      <c r="DG341" s="5">
        <v>0.35728139345271198</v>
      </c>
      <c r="DH341" s="5">
        <v>-0.12155909132264101</v>
      </c>
      <c r="DI341" s="5">
        <v>0.28278421597724201</v>
      </c>
      <c r="DJ341" s="5">
        <v>-0.23631126933340399</v>
      </c>
      <c r="DK341" s="5">
        <v>0.27312708674159902</v>
      </c>
      <c r="DL341" s="5">
        <v>-0.31689498200188598</v>
      </c>
      <c r="DM341" s="5">
        <v>0.53164674134582601</v>
      </c>
      <c r="DN341" s="5">
        <v>-0.21553835023071</v>
      </c>
      <c r="DO341" s="5">
        <v>0.22536058163005701</v>
      </c>
      <c r="DP341" s="5">
        <v>9.4013224032448897E-2</v>
      </c>
      <c r="DQ341" s="5">
        <v>-6.0293521308281597E-2</v>
      </c>
      <c r="DR341" s="5">
        <v>-0.104151700690937</v>
      </c>
      <c r="DS341" s="5">
        <v>0.189170972678532</v>
      </c>
      <c r="DT341" s="5">
        <v>-0.14962007273004899</v>
      </c>
      <c r="DU341" s="5">
        <v>0.21643394178004599</v>
      </c>
      <c r="DV341" s="5">
        <v>-0.49989743973654699</v>
      </c>
      <c r="DW341" s="5">
        <v>0.72487167929289398</v>
      </c>
      <c r="DX341" s="5">
        <v>-0.14376912031164699</v>
      </c>
      <c r="DY341" s="5">
        <v>0.18776222780302901</v>
      </c>
      <c r="DZ341" s="5">
        <v>-4.6673761000812101E-2</v>
      </c>
      <c r="EA341" s="5">
        <v>7.9346105165731803E-2</v>
      </c>
      <c r="EB341" s="5">
        <v>-0.65709147071381402</v>
      </c>
      <c r="EC341" s="5">
        <v>0.85118062844702502</v>
      </c>
      <c r="ED341" s="5">
        <v>-0.58505903133358705</v>
      </c>
      <c r="EE341" s="5">
        <v>0.78606141149631503</v>
      </c>
      <c r="EF341" s="5">
        <v>-0.42911793797178099</v>
      </c>
      <c r="EG341" s="5">
        <v>0.55565743967023395</v>
      </c>
      <c r="EH341" s="5">
        <v>-0.38837111134072799</v>
      </c>
      <c r="EI341" s="5">
        <v>0.61224647896586404</v>
      </c>
      <c r="EJ341" s="5">
        <v>-0.44854849016292297</v>
      </c>
      <c r="EK341" s="5">
        <v>0.67419406894706602</v>
      </c>
      <c r="EL341" s="5">
        <v>-0.44432449045570199</v>
      </c>
      <c r="EM341" s="5">
        <v>0.71110133625315997</v>
      </c>
      <c r="EN341" s="5">
        <v>5.7872232991252902E-2</v>
      </c>
      <c r="EO341" s="5">
        <v>-1.8239003470101801E-2</v>
      </c>
      <c r="EP341" s="5">
        <v>-0.46347560366523899</v>
      </c>
      <c r="EQ341" s="5">
        <v>0.61651240167430998</v>
      </c>
      <c r="ER341" s="5">
        <v>-0.17257740109129199</v>
      </c>
      <c r="ES341" s="5">
        <v>0.36590140341037902</v>
      </c>
      <c r="ET341" s="5">
        <v>-0.21109510906980899</v>
      </c>
      <c r="EU341" s="5">
        <v>0.493579872998826</v>
      </c>
      <c r="EV341" s="5">
        <v>-0.31754884565755898</v>
      </c>
      <c r="EW341" s="5">
        <v>0.62527304723896104</v>
      </c>
      <c r="EX341" s="5">
        <v>6.8069962005948906E-2</v>
      </c>
      <c r="EY341" s="5">
        <v>0.17802560549995999</v>
      </c>
      <c r="EZ341" s="5">
        <v>-0.22351310802571001</v>
      </c>
      <c r="FA341" s="5">
        <v>0.45588420099361598</v>
      </c>
      <c r="FB341" s="5">
        <v>-8.4953330998411902E-2</v>
      </c>
      <c r="FC341" s="5">
        <v>0.14567384031084399</v>
      </c>
      <c r="FD341" s="5">
        <v>-0.30060746343218397</v>
      </c>
      <c r="FE341" s="5">
        <v>0.46463456399844399</v>
      </c>
      <c r="FF341" s="5">
        <v>-8.2102836438666102E-2</v>
      </c>
      <c r="FG341" s="5">
        <v>0.130494626284552</v>
      </c>
      <c r="FH341" s="5">
        <v>-4.8168521647794803E-2</v>
      </c>
      <c r="FI341" s="5">
        <v>0.215495271002555</v>
      </c>
      <c r="FJ341" s="5">
        <v>-0.27040048670331301</v>
      </c>
      <c r="FK341" s="5">
        <v>0.45298389639150599</v>
      </c>
      <c r="FL341" s="5">
        <v>2.8333117686614E-2</v>
      </c>
      <c r="FM341" s="5">
        <v>-2.5672789610400301E-2</v>
      </c>
      <c r="FN341" s="5">
        <v>-0.19857121486657001</v>
      </c>
      <c r="FO341" s="5">
        <v>0.31054145779137399</v>
      </c>
      <c r="FP341" s="5">
        <v>-0.14525897714953401</v>
      </c>
      <c r="FQ341" s="5">
        <v>0.24033636573231601</v>
      </c>
      <c r="FR341" s="5">
        <v>0.198527098638099</v>
      </c>
      <c r="FS341" s="5">
        <v>-0.215462444506173</v>
      </c>
      <c r="FT341" s="5">
        <v>-7.65686377814805E-2</v>
      </c>
      <c r="FU341" s="5">
        <v>0.19121559921617201</v>
      </c>
      <c r="FV341" s="5">
        <v>-4.59954248280409E-2</v>
      </c>
      <c r="FW341" s="5">
        <v>0.13915822044691001</v>
      </c>
      <c r="FX341" s="5">
        <v>-0.24909235059495499</v>
      </c>
      <c r="FY341" s="5">
        <v>0.42850213168068602</v>
      </c>
      <c r="FZ341" s="5">
        <v>-0.13492427935617601</v>
      </c>
      <c r="GA341" s="5">
        <v>0.25643236070776798</v>
      </c>
      <c r="GB341" s="5">
        <v>-7.6667473895826996E-2</v>
      </c>
      <c r="GC341" s="5">
        <v>0.14826648757479999</v>
      </c>
      <c r="GD341" s="5">
        <v>4.7964337153622402E-2</v>
      </c>
      <c r="GE341" s="5">
        <v>-3.4708466417408802E-2</v>
      </c>
      <c r="GF341" s="5">
        <v>-0.11063760590750001</v>
      </c>
      <c r="GG341" s="5">
        <v>0.38427178138386398</v>
      </c>
      <c r="GH341" s="5">
        <v>0.396051649010975</v>
      </c>
      <c r="GI341" s="5">
        <v>-0.55481586360037505</v>
      </c>
      <c r="GJ341" s="5">
        <v>-0.277241807768559</v>
      </c>
      <c r="GK341" s="5">
        <v>0.578087358031528</v>
      </c>
      <c r="GL341" s="5">
        <v>-0.51604344955939596</v>
      </c>
      <c r="GM341" s="5">
        <v>0.61912848781045404</v>
      </c>
      <c r="GN341" s="5">
        <v>-7.0670326841638903E-2</v>
      </c>
      <c r="GO341" s="5">
        <v>0.17515460248301101</v>
      </c>
      <c r="GP341" s="5">
        <v>-0.217919923415413</v>
      </c>
      <c r="GQ341" s="5">
        <v>0.36512599449514299</v>
      </c>
      <c r="GR341" s="5">
        <v>-0.32738960294210001</v>
      </c>
      <c r="GS341" s="5">
        <v>0.63018938186944995</v>
      </c>
      <c r="GT341" s="5">
        <v>7.9613882419012506E-3</v>
      </c>
      <c r="GU341" s="5">
        <v>9.8501494807716194E-3</v>
      </c>
      <c r="GV341" s="5">
        <v>-0.50303634735296798</v>
      </c>
      <c r="GW341" s="5">
        <v>0.77471741805076599</v>
      </c>
      <c r="GX341" s="5">
        <v>-0.21616320442266199</v>
      </c>
      <c r="GY341" s="5">
        <v>0.38276735850959298</v>
      </c>
      <c r="GZ341" s="5">
        <v>-0.23598767573610399</v>
      </c>
      <c r="HA341" s="5">
        <v>0.23677141444213001</v>
      </c>
      <c r="HB341" s="5">
        <v>-0.15065189307358201</v>
      </c>
      <c r="HC341" s="5">
        <v>0.40810178893683702</v>
      </c>
      <c r="HD341" s="5">
        <v>-6.9880505577317995E-2</v>
      </c>
      <c r="HE341" s="5">
        <v>0.15153327050024901</v>
      </c>
      <c r="HF341" s="5">
        <v>-0.22992947698705599</v>
      </c>
      <c r="HG341" s="5">
        <v>0.26297956831580999</v>
      </c>
      <c r="HH341" s="5">
        <v>-0.149061506410159</v>
      </c>
      <c r="HI341" s="5">
        <v>0.18809069864541</v>
      </c>
      <c r="HJ341" s="5">
        <v>-0.23995542948992299</v>
      </c>
      <c r="HK341" s="5">
        <v>0.27193050749424602</v>
      </c>
      <c r="HL341" s="5">
        <v>-0.25965773742514298</v>
      </c>
      <c r="HM341" s="5">
        <v>0.48690414105556801</v>
      </c>
      <c r="HN341" s="5">
        <v>-9.3064421140156298E-2</v>
      </c>
      <c r="HO341" s="5">
        <v>0.15223151676492899</v>
      </c>
      <c r="HP341" s="5">
        <v>-2.6476209839990401E-2</v>
      </c>
      <c r="HQ341" s="5">
        <v>0.285274691615234</v>
      </c>
      <c r="HR341" s="5">
        <v>-9.4318596664786203E-2</v>
      </c>
      <c r="HS341" s="5">
        <v>0.31762328920468202</v>
      </c>
      <c r="HT341" s="5">
        <v>-8.1684485023536493E-2</v>
      </c>
      <c r="HU341" s="5">
        <v>0.135725811470359</v>
      </c>
      <c r="HV341" s="5">
        <v>-0.43943449315458499</v>
      </c>
      <c r="HW341" s="5">
        <v>0.65385761206536896</v>
      </c>
      <c r="HX341" s="5">
        <v>-0.32053769288254602</v>
      </c>
      <c r="HY341" s="5">
        <v>0.61275037789980202</v>
      </c>
      <c r="HZ341" s="5">
        <v>-0.115826601461181</v>
      </c>
      <c r="IA341" s="5">
        <v>0.14409334738120999</v>
      </c>
      <c r="IB341" s="5">
        <v>0.17449306476649201</v>
      </c>
      <c r="IC341" s="5">
        <v>-0.237245985431533</v>
      </c>
      <c r="ID341" s="5">
        <v>-0.223051230574002</v>
      </c>
      <c r="IE341" s="5">
        <v>0.49760304344005801</v>
      </c>
      <c r="IF341" s="5">
        <v>-0.35193637228219699</v>
      </c>
      <c r="IG341" s="5">
        <v>0.57589634094358</v>
      </c>
      <c r="IH341" s="5">
        <v>-0.41700668659692802</v>
      </c>
      <c r="II341" s="5">
        <v>0.56337729425795102</v>
      </c>
      <c r="IJ341" s="5">
        <v>-0.1338769013335</v>
      </c>
      <c r="IK341" s="5">
        <v>0.253795463457135</v>
      </c>
      <c r="IL341" s="5">
        <v>-0.21102918390646899</v>
      </c>
      <c r="IM341" s="5">
        <v>0.45583869732742699</v>
      </c>
      <c r="IN341" s="5">
        <v>-0.21344951764244399</v>
      </c>
      <c r="IO341" s="5">
        <v>0.45459522113180201</v>
      </c>
      <c r="IP341" s="5">
        <v>-0.34562413480384302</v>
      </c>
      <c r="IQ341" s="5">
        <v>0.54638033633282002</v>
      </c>
      <c r="IR341" s="5">
        <v>0.14635453596786099</v>
      </c>
      <c r="IS341" s="5">
        <v>-0.12257992122686399</v>
      </c>
      <c r="IT341" s="5">
        <v>-0.37544940262468202</v>
      </c>
      <c r="IU341" s="5">
        <v>0.60059769409909702</v>
      </c>
      <c r="IV341" s="5">
        <v>-0.57990848934697103</v>
      </c>
      <c r="IW341" s="5">
        <v>0.81787650553394997</v>
      </c>
      <c r="IX341" s="5">
        <v>-0.33107039280592199</v>
      </c>
      <c r="IY341" s="5">
        <v>0.57197267515481798</v>
      </c>
      <c r="IZ341" s="5">
        <v>-0.174373468448144</v>
      </c>
      <c r="JA341" s="5">
        <v>0.225248480782308</v>
      </c>
      <c r="JB341" s="5">
        <v>-0.28672159220013799</v>
      </c>
      <c r="JC341" s="5">
        <v>0.32333302842334899</v>
      </c>
      <c r="JD341" s="5">
        <v>-9.13463470444804E-2</v>
      </c>
      <c r="JE341" s="5">
        <v>0.235841091702891</v>
      </c>
      <c r="JF341" s="5">
        <v>-0.25856512147316901</v>
      </c>
      <c r="JG341" s="5">
        <v>0.439218811629561</v>
      </c>
      <c r="JH341" s="5">
        <v>-0.11841694623955901</v>
      </c>
      <c r="JI341" s="5">
        <v>0.166682236692201</v>
      </c>
      <c r="JJ341" s="5">
        <v>-0.336338015485869</v>
      </c>
      <c r="JK341" s="5">
        <v>0.55961355743942098</v>
      </c>
      <c r="JL341" s="5">
        <v>-0.26263061084633699</v>
      </c>
      <c r="JM341" s="5">
        <v>0.45731492078969199</v>
      </c>
      <c r="JN341" s="5">
        <v>-0.55267303124200096</v>
      </c>
      <c r="JO341" s="5">
        <v>0.76008167305269003</v>
      </c>
      <c r="JP341" s="5">
        <v>-0.30389289690582499</v>
      </c>
      <c r="JQ341" s="5">
        <v>0.59048935356995402</v>
      </c>
      <c r="JR341" s="5">
        <v>1.9773462279942E-3</v>
      </c>
      <c r="JS341" s="5">
        <v>0.19489920114385401</v>
      </c>
      <c r="JT341" s="5">
        <v>0.25436580968707501</v>
      </c>
      <c r="JU341" s="5">
        <v>-0.173992105742732</v>
      </c>
      <c r="JV341" s="5">
        <v>-0.12621186507486801</v>
      </c>
      <c r="JW341" s="5">
        <v>0.36826590488808902</v>
      </c>
      <c r="JX341" s="5">
        <v>-0.18002832811352501</v>
      </c>
      <c r="JY341" s="5">
        <v>0.212525206495561</v>
      </c>
      <c r="JZ341" s="5">
        <v>-0.52366982558427799</v>
      </c>
      <c r="KA341" s="5">
        <v>0.61641042642263399</v>
      </c>
      <c r="KB341" s="5">
        <v>-0.24187872991248099</v>
      </c>
      <c r="KC341" s="5">
        <v>0.271593098714004</v>
      </c>
      <c r="KD341" s="5">
        <v>-5.0300539152344899E-2</v>
      </c>
      <c r="KE341" s="5">
        <v>0.16198566955747901</v>
      </c>
      <c r="KF341" s="5">
        <v>-0.18770598056538501</v>
      </c>
      <c r="KG341" s="5">
        <v>0.31750385393137298</v>
      </c>
      <c r="KH341" s="5">
        <v>-5.4529855726063101E-2</v>
      </c>
      <c r="KI341" s="5">
        <v>0.15810235261591701</v>
      </c>
      <c r="KJ341" s="5">
        <v>-0.25555608019312098</v>
      </c>
      <c r="KK341" s="5">
        <v>0.43598076103615702</v>
      </c>
      <c r="KL341" s="5">
        <v>-2.6131000499778699E-2</v>
      </c>
      <c r="KM341" s="5">
        <v>0.14029125953496699</v>
      </c>
      <c r="KN341" s="5">
        <v>-0.113206063842899</v>
      </c>
      <c r="KO341" s="5">
        <v>0.16328040425993301</v>
      </c>
      <c r="KP341" s="5">
        <v>1.4419162762380901E-2</v>
      </c>
      <c r="KQ341" s="5">
        <v>-4.1233954523291802E-2</v>
      </c>
      <c r="KR341" s="5">
        <v>-0.39249950592583899</v>
      </c>
      <c r="KS341" s="5">
        <v>0.59237227731208897</v>
      </c>
      <c r="KT341" s="5">
        <v>-0.34364106145662898</v>
      </c>
      <c r="KU341" s="5">
        <v>0.57828585756256901</v>
      </c>
      <c r="KV341" s="5">
        <v>-0.40583251692793099</v>
      </c>
      <c r="KW341" s="5">
        <v>0.62176032482521504</v>
      </c>
      <c r="KX341" s="5">
        <v>-0.41480544733039998</v>
      </c>
      <c r="KY341" s="5">
        <v>0.62309422954557503</v>
      </c>
      <c r="KZ341" s="5">
        <v>-0.242811884395845</v>
      </c>
      <c r="LA341" s="5">
        <v>0.40292404253063202</v>
      </c>
      <c r="LB341" s="5">
        <v>-0.40313230252466398</v>
      </c>
      <c r="LC341" s="5">
        <v>0.66304394692022295</v>
      </c>
      <c r="LD341" s="5">
        <v>-0.227066421942966</v>
      </c>
      <c r="LE341" s="5">
        <v>0.43341138385489503</v>
      </c>
      <c r="LF341" s="5">
        <v>-8.6245316042110998E-2</v>
      </c>
      <c r="LG341" s="5">
        <v>0.16084117591691299</v>
      </c>
      <c r="LH341" s="5">
        <v>-0.28026641682043602</v>
      </c>
      <c r="LI341" s="5">
        <v>0.52263977149367202</v>
      </c>
      <c r="LJ341" s="5">
        <v>-8.9297562772502101E-2</v>
      </c>
      <c r="LK341" s="5">
        <v>0.14942361439256699</v>
      </c>
      <c r="LL341" s="5">
        <v>-0.365023022182625</v>
      </c>
      <c r="LM341" s="5">
        <v>0.60720413550761798</v>
      </c>
      <c r="LN341" s="5">
        <v>-0.37551757401126701</v>
      </c>
      <c r="LO341" s="5">
        <v>0.596927957903027</v>
      </c>
      <c r="LP341" s="5">
        <v>-0.189102219354571</v>
      </c>
      <c r="LQ341" s="5">
        <v>0.53557970971820401</v>
      </c>
      <c r="LR341" s="5">
        <v>-0.14586535030720099</v>
      </c>
      <c r="LS341" s="5">
        <v>0.17488063008240501</v>
      </c>
      <c r="LT341" s="5">
        <v>-0.18092395616377799</v>
      </c>
      <c r="LU341" s="5">
        <v>0.227492181102878</v>
      </c>
      <c r="LV341" s="5">
        <v>-0.291584143922205</v>
      </c>
      <c r="LW341" s="5">
        <v>0.30589725063968298</v>
      </c>
      <c r="LX341" s="5">
        <v>-7.4305286843359006E-2</v>
      </c>
      <c r="LY341" s="5">
        <v>0.13022939854215099</v>
      </c>
      <c r="LZ341" s="5">
        <v>-0.39382331685689098</v>
      </c>
      <c r="MA341" s="5">
        <v>0.67303929047063005</v>
      </c>
      <c r="MB341" s="5">
        <v>-0.77327699650434101</v>
      </c>
      <c r="MC341" s="5">
        <v>1</v>
      </c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</row>
    <row r="342" spans="1:389" x14ac:dyDescent="0.45">
      <c r="A342" s="4" t="str">
        <f ca="1">"THA / beta1dist in "&amp;CELL("address",'damages-1990'!$J$172)</f>
        <v>THA / beta1dist in '[BHM betas v3pd.xlsx]damages-1990'!$J$172</v>
      </c>
      <c r="B342" s="6">
        <v>0.118505699206276</v>
      </c>
      <c r="C342" s="5">
        <v>0.305343007510542</v>
      </c>
      <c r="D342" s="5">
        <v>0.56486065447010303</v>
      </c>
      <c r="E342" s="5">
        <v>-0.13523307282517</v>
      </c>
      <c r="F342" s="5">
        <v>7.3698311505987907E-2</v>
      </c>
      <c r="G342" s="5">
        <v>0.17545558276126699</v>
      </c>
      <c r="H342" s="5">
        <v>-0.222394380938573</v>
      </c>
      <c r="I342" s="5">
        <v>0.15703966755642301</v>
      </c>
      <c r="J342" s="5">
        <v>0.46317532797953598</v>
      </c>
      <c r="K342" s="5">
        <v>-3.81444169116439E-2</v>
      </c>
      <c r="L342" s="5">
        <v>0.38197834159884703</v>
      </c>
      <c r="M342" s="5">
        <v>-4.6651668184403298E-2</v>
      </c>
      <c r="N342" s="5">
        <v>-3.9024222662516102E-2</v>
      </c>
      <c r="O342" s="5">
        <v>2.8048496719873601E-2</v>
      </c>
      <c r="P342" s="5">
        <v>0.28223856764600602</v>
      </c>
      <c r="Q342" s="5">
        <v>-5.8649750379930997E-2</v>
      </c>
      <c r="R342" s="5">
        <v>0.53677882854317305</v>
      </c>
      <c r="S342" s="5">
        <v>-0.12632871490280601</v>
      </c>
      <c r="T342" s="5">
        <v>-0.12598008680921699</v>
      </c>
      <c r="U342" s="5">
        <v>0.12516878194675399</v>
      </c>
      <c r="V342" s="5">
        <v>0.149751304656002</v>
      </c>
      <c r="W342" s="5">
        <v>0.249532703064414</v>
      </c>
      <c r="X342" s="5">
        <v>0.48877740699799499</v>
      </c>
      <c r="Y342" s="5">
        <v>-7.5898651204154496E-2</v>
      </c>
      <c r="Z342" s="5">
        <v>-5.5476398925431103E-2</v>
      </c>
      <c r="AA342" s="5">
        <v>0.12743634035451401</v>
      </c>
      <c r="AB342" s="5">
        <v>0.67123310247865098</v>
      </c>
      <c r="AC342" s="5">
        <v>-0.37988329057381298</v>
      </c>
      <c r="AD342" s="5">
        <v>0.58626329811094402</v>
      </c>
      <c r="AE342" s="5">
        <v>-0.25207955848886698</v>
      </c>
      <c r="AF342" s="5">
        <v>0.49312162661638897</v>
      </c>
      <c r="AG342" s="5">
        <v>-0.140514133138018</v>
      </c>
      <c r="AH342" s="5">
        <v>5.14727084419669E-2</v>
      </c>
      <c r="AI342" s="5">
        <v>0.142870226884419</v>
      </c>
      <c r="AJ342" s="5">
        <v>0.41481261491676402</v>
      </c>
      <c r="AK342" s="5">
        <v>-1.16976220665811E-2</v>
      </c>
      <c r="AL342" s="5">
        <v>0.50697203608030195</v>
      </c>
      <c r="AM342" s="5">
        <v>-0.31971393293098899</v>
      </c>
      <c r="AN342" s="5">
        <v>-8.0148875764267893E-2</v>
      </c>
      <c r="AO342" s="5">
        <v>0.19607382200464299</v>
      </c>
      <c r="AP342" s="5">
        <v>-0.15028327917189799</v>
      </c>
      <c r="AQ342" s="5">
        <v>0.16764158579126501</v>
      </c>
      <c r="AR342" s="5">
        <v>0.56534010423370695</v>
      </c>
      <c r="AS342" s="5">
        <v>-0.28654721998293298</v>
      </c>
      <c r="AT342" s="5">
        <v>0.35962579182645499</v>
      </c>
      <c r="AU342" s="5">
        <v>-0.152139992595483</v>
      </c>
      <c r="AV342" s="5">
        <v>0.73200263838603996</v>
      </c>
      <c r="AW342" s="5">
        <v>-0.41681785397264898</v>
      </c>
      <c r="AX342" s="5">
        <v>0.71561307179187506</v>
      </c>
      <c r="AY342" s="5">
        <v>-0.37766253399279698</v>
      </c>
      <c r="AZ342" s="5">
        <v>0.383459685669025</v>
      </c>
      <c r="BA342" s="5">
        <v>-0.16103109974582</v>
      </c>
      <c r="BB342" s="5">
        <v>0.53273729382130097</v>
      </c>
      <c r="BC342" s="5">
        <v>-7.9243065936498797E-2</v>
      </c>
      <c r="BD342" s="5">
        <v>-6.75299756028534E-3</v>
      </c>
      <c r="BE342" s="5">
        <v>0.38651145841891599</v>
      </c>
      <c r="BF342" s="5">
        <v>0.49232656873291702</v>
      </c>
      <c r="BG342" s="5">
        <v>-0.11674709501750399</v>
      </c>
      <c r="BH342" s="5">
        <v>0.65488746966867595</v>
      </c>
      <c r="BI342" s="5">
        <v>-0.27721169608998902</v>
      </c>
      <c r="BJ342" s="5">
        <v>-0.42893441426191897</v>
      </c>
      <c r="BK342" s="5">
        <v>0.325947154574733</v>
      </c>
      <c r="BL342" s="5">
        <v>-0.119575745646389</v>
      </c>
      <c r="BM342" s="5">
        <v>7.8814468060717999E-2</v>
      </c>
      <c r="BN342" s="5">
        <v>-0.20285493051006201</v>
      </c>
      <c r="BO342" s="5">
        <v>0.27346647176059002</v>
      </c>
      <c r="BP342" s="5">
        <v>-0.26641011312700502</v>
      </c>
      <c r="BQ342" s="5">
        <v>0.39486626727386498</v>
      </c>
      <c r="BR342" s="5">
        <v>0.53837162700313801</v>
      </c>
      <c r="BS342" s="5">
        <v>-0.228945469250279</v>
      </c>
      <c r="BT342" s="5">
        <v>0.71619173025091099</v>
      </c>
      <c r="BU342" s="5">
        <v>-0.35866840412131001</v>
      </c>
      <c r="BV342" s="5">
        <v>0.59505776849144598</v>
      </c>
      <c r="BW342" s="5">
        <v>-0.19045131642467</v>
      </c>
      <c r="BX342" s="5">
        <v>0.57998209384607202</v>
      </c>
      <c r="BY342" s="5">
        <v>-0.24999530160723299</v>
      </c>
      <c r="BZ342" s="5">
        <v>0.68134621206399204</v>
      </c>
      <c r="CA342" s="5">
        <v>-0.32777624193718802</v>
      </c>
      <c r="CB342" s="5">
        <v>0.54787172999420597</v>
      </c>
      <c r="CC342" s="5">
        <v>-0.30852948408662201</v>
      </c>
      <c r="CD342" s="5">
        <v>0.21874728822084699</v>
      </c>
      <c r="CE342" s="5">
        <v>3.72034282595008E-2</v>
      </c>
      <c r="CF342" s="5">
        <v>0.57257165740137395</v>
      </c>
      <c r="CG342" s="5">
        <v>-0.31253173151507402</v>
      </c>
      <c r="CH342" s="5">
        <v>0.46048629809867903</v>
      </c>
      <c r="CI342" s="5">
        <v>-0.312185156532092</v>
      </c>
      <c r="CJ342" s="5">
        <v>0.19370046775597699</v>
      </c>
      <c r="CK342" s="5">
        <v>2.95896507996176E-2</v>
      </c>
      <c r="CL342" s="5">
        <v>-8.8924092042069094E-2</v>
      </c>
      <c r="CM342" s="5">
        <v>0.12911580473599901</v>
      </c>
      <c r="CN342" s="5">
        <v>-7.9886667619566407E-2</v>
      </c>
      <c r="CO342" s="5">
        <v>0.13609612866332699</v>
      </c>
      <c r="CP342" s="5">
        <v>0.36327022407626802</v>
      </c>
      <c r="CQ342" s="5">
        <v>-5.8150429660387998E-2</v>
      </c>
      <c r="CR342" s="5">
        <v>0.27263988552525598</v>
      </c>
      <c r="CS342" s="5">
        <v>-3.2592817184197598E-2</v>
      </c>
      <c r="CT342" s="5">
        <v>-7.34885304326756E-2</v>
      </c>
      <c r="CU342" s="5">
        <v>7.0291833558944902E-2</v>
      </c>
      <c r="CV342" s="5">
        <v>0.43954519586048701</v>
      </c>
      <c r="CW342" s="5">
        <v>-0.20437526668162101</v>
      </c>
      <c r="CX342" s="5">
        <v>0.60937729405854602</v>
      </c>
      <c r="CY342" s="5">
        <v>-0.26483194668672599</v>
      </c>
      <c r="CZ342" s="5">
        <v>0.67383526317221798</v>
      </c>
      <c r="DA342" s="5">
        <v>-0.353994132635505</v>
      </c>
      <c r="DB342" s="5">
        <v>0.44396868266398698</v>
      </c>
      <c r="DC342" s="5">
        <v>-1.38676265119357E-2</v>
      </c>
      <c r="DD342" s="5">
        <v>0.391786639731942</v>
      </c>
      <c r="DE342" s="5">
        <v>-6.9033293917862504E-2</v>
      </c>
      <c r="DF342" s="5">
        <v>0.38922055684909901</v>
      </c>
      <c r="DG342" s="5">
        <v>-6.0376448252528199E-2</v>
      </c>
      <c r="DH342" s="5">
        <v>0.18995931487965201</v>
      </c>
      <c r="DI342" s="5">
        <v>0.13260929598645299</v>
      </c>
      <c r="DJ342" s="5">
        <v>-0.184712435871111</v>
      </c>
      <c r="DK342" s="5">
        <v>0.16916773601959301</v>
      </c>
      <c r="DL342" s="5">
        <v>0.43116375783757599</v>
      </c>
      <c r="DM342" s="5">
        <v>-3.96351734831095E-2</v>
      </c>
      <c r="DN342" s="5">
        <v>-0.26867261195806602</v>
      </c>
      <c r="DO342" s="5">
        <v>0.20925660002017599</v>
      </c>
      <c r="DP342" s="5">
        <v>0.41016161910906401</v>
      </c>
      <c r="DQ342" s="5">
        <v>-0.14256410297092501</v>
      </c>
      <c r="DR342" s="5">
        <v>1.05449975003856E-2</v>
      </c>
      <c r="DS342" s="5">
        <v>0.15511708213851599</v>
      </c>
      <c r="DT342" s="5">
        <v>0.312416272571095</v>
      </c>
      <c r="DU342" s="5">
        <v>-0.11890065712145099</v>
      </c>
      <c r="DV342" s="5">
        <v>0.48625307547640401</v>
      </c>
      <c r="DW342" s="5">
        <v>-0.21607228002065501</v>
      </c>
      <c r="DX342" s="5">
        <v>-0.156377020314211</v>
      </c>
      <c r="DY342" s="5">
        <v>0.16487411279945999</v>
      </c>
      <c r="DZ342" s="5">
        <v>1.35755417734369E-3</v>
      </c>
      <c r="EA342" s="5">
        <v>-9.2684509592956803E-3</v>
      </c>
      <c r="EB342" s="5">
        <v>0.67009660913051095</v>
      </c>
      <c r="EC342" s="5">
        <v>-0.33303727328654098</v>
      </c>
      <c r="ED342" s="5">
        <v>0.58605887979152405</v>
      </c>
      <c r="EE342" s="5">
        <v>-0.20267102617334801</v>
      </c>
      <c r="EF342" s="5">
        <v>0.25173627393338499</v>
      </c>
      <c r="EG342" s="5">
        <v>-2.83890733269891E-2</v>
      </c>
      <c r="EH342" s="5">
        <v>0.51672267121702498</v>
      </c>
      <c r="EI342" s="5">
        <v>-0.14073811072386999</v>
      </c>
      <c r="EJ342" s="5">
        <v>0.52302386624055297</v>
      </c>
      <c r="EK342" s="5">
        <v>-0.136098173830668</v>
      </c>
      <c r="EL342" s="5">
        <v>0.76110456805161197</v>
      </c>
      <c r="EM342" s="5">
        <v>-0.47458418852066098</v>
      </c>
      <c r="EN342" s="5">
        <v>0.241581543551664</v>
      </c>
      <c r="EO342" s="5">
        <v>-4.4806141556202397E-3</v>
      </c>
      <c r="EP342" s="5">
        <v>0.41851775327231899</v>
      </c>
      <c r="EQ342" s="5">
        <v>-0.18310546514329101</v>
      </c>
      <c r="ER342" s="5">
        <v>0.54245517147877098</v>
      </c>
      <c r="ES342" s="5">
        <v>-0.20710205897479</v>
      </c>
      <c r="ET342" s="5">
        <v>0.50021863898104102</v>
      </c>
      <c r="EU342" s="5">
        <v>-0.23685981632365899</v>
      </c>
      <c r="EV342" s="5">
        <v>0.56459108235683897</v>
      </c>
      <c r="EW342" s="5">
        <v>-0.28755370902229299</v>
      </c>
      <c r="EX342" s="5">
        <v>0.53533728385268498</v>
      </c>
      <c r="EY342" s="5">
        <v>-0.34858369372553999</v>
      </c>
      <c r="EZ342" s="5">
        <v>0.57410158269007805</v>
      </c>
      <c r="FA342" s="5">
        <v>-0.24202610551959899</v>
      </c>
      <c r="FB342" s="5">
        <v>5.42290917645947E-2</v>
      </c>
      <c r="FC342" s="5">
        <v>0.13139528087078001</v>
      </c>
      <c r="FD342" s="5">
        <v>0.47280089366384398</v>
      </c>
      <c r="FE342" s="5">
        <v>-0.23770443622752699</v>
      </c>
      <c r="FF342" s="5">
        <v>2.5148082058258601E-2</v>
      </c>
      <c r="FG342" s="5">
        <v>0.116164375397825</v>
      </c>
      <c r="FH342" s="5">
        <v>0.68635622528458695</v>
      </c>
      <c r="FI342" s="5">
        <v>-0.45018399061498798</v>
      </c>
      <c r="FJ342" s="5">
        <v>0.48475879836352298</v>
      </c>
      <c r="FK342" s="5">
        <v>-1.8376158682531899E-2</v>
      </c>
      <c r="FL342" s="5">
        <v>-0.19136696617487101</v>
      </c>
      <c r="FM342" s="5">
        <v>0.21023652093459</v>
      </c>
      <c r="FN342" s="5">
        <v>0.30203114590965402</v>
      </c>
      <c r="FO342" s="5">
        <v>0.108831910956164</v>
      </c>
      <c r="FP342" s="5">
        <v>0.41017498433448202</v>
      </c>
      <c r="FQ342" s="5">
        <v>-2.99892605300131E-2</v>
      </c>
      <c r="FR342" s="5">
        <v>-0.21746894091080499</v>
      </c>
      <c r="FS342" s="5">
        <v>0.14534896243929801</v>
      </c>
      <c r="FT342" s="5">
        <v>0.41353629794082197</v>
      </c>
      <c r="FU342" s="5">
        <v>-8.5287739592554007E-3</v>
      </c>
      <c r="FV342" s="5">
        <v>0.162744356560165</v>
      </c>
      <c r="FW342" s="5">
        <v>8.8587312565457002E-2</v>
      </c>
      <c r="FX342" s="5">
        <v>0.56491218301370105</v>
      </c>
      <c r="FY342" s="5">
        <v>-0.32735275329077901</v>
      </c>
      <c r="FZ342" s="5">
        <v>0.46004719814648498</v>
      </c>
      <c r="GA342" s="5">
        <v>-1.7889722709365001E-2</v>
      </c>
      <c r="GB342" s="5">
        <v>2.2654015117390101E-2</v>
      </c>
      <c r="GC342" s="5">
        <v>0.22535294049627699</v>
      </c>
      <c r="GD342" s="5">
        <v>-0.23387139344381</v>
      </c>
      <c r="GE342" s="5">
        <v>0.23279911776450801</v>
      </c>
      <c r="GF342" s="5">
        <v>0.33337401600490102</v>
      </c>
      <c r="GG342" s="5">
        <v>4.4319214717083499E-2</v>
      </c>
      <c r="GH342" s="5">
        <v>-0.36259438522656601</v>
      </c>
      <c r="GI342" s="5">
        <v>0.239936523427072</v>
      </c>
      <c r="GJ342" s="5">
        <v>0.82657636375433996</v>
      </c>
      <c r="GK342" s="5">
        <v>-0.62693995184490803</v>
      </c>
      <c r="GL342" s="5">
        <v>0.31738743824662602</v>
      </c>
      <c r="GM342" s="5">
        <v>-8.3987890383698402E-2</v>
      </c>
      <c r="GN342" s="5">
        <v>5.4691906344083802E-2</v>
      </c>
      <c r="GO342" s="5">
        <v>0.23120534311348601</v>
      </c>
      <c r="GP342" s="5">
        <v>0.46568240516824</v>
      </c>
      <c r="GQ342" s="5">
        <v>-8.2228347208938707E-2</v>
      </c>
      <c r="GR342" s="5">
        <v>0.86058414187305698</v>
      </c>
      <c r="GS342" s="5">
        <v>-0.66839338996113795</v>
      </c>
      <c r="GT342" s="5">
        <v>0.28827014943168999</v>
      </c>
      <c r="GU342" s="5">
        <v>5.1127299582295102E-2</v>
      </c>
      <c r="GV342" s="5">
        <v>0.49425309962751102</v>
      </c>
      <c r="GW342" s="5">
        <v>-0.25782522415423398</v>
      </c>
      <c r="GX342" s="5">
        <v>0.50851919444600002</v>
      </c>
      <c r="GY342" s="5">
        <v>-0.21417273944821599</v>
      </c>
      <c r="GZ342" s="5">
        <v>-0.13136435499122601</v>
      </c>
      <c r="HA342" s="5">
        <v>0.103207116054228</v>
      </c>
      <c r="HB342" s="5">
        <v>0.53544104291364003</v>
      </c>
      <c r="HC342" s="5">
        <v>-0.20172285062353601</v>
      </c>
      <c r="HD342" s="5">
        <v>3.2086561742948903E-2</v>
      </c>
      <c r="HE342" s="5">
        <v>0.36669808880818999</v>
      </c>
      <c r="HF342" s="5">
        <v>-0.153127118199751</v>
      </c>
      <c r="HG342" s="5">
        <v>0.162174683026027</v>
      </c>
      <c r="HH342" s="5">
        <v>-7.8843328901974305E-2</v>
      </c>
      <c r="HI342" s="5">
        <v>0.14344016438385501</v>
      </c>
      <c r="HJ342" s="5">
        <v>-0.16228464139766899</v>
      </c>
      <c r="HK342" s="5">
        <v>0.15441972870109699</v>
      </c>
      <c r="HL342" s="5">
        <v>0.44899642460981298</v>
      </c>
      <c r="HM342" s="5">
        <v>-9.5292337720715894E-2</v>
      </c>
      <c r="HN342" s="5">
        <v>2.2189059380471301E-2</v>
      </c>
      <c r="HO342" s="5">
        <v>0.107327465956826</v>
      </c>
      <c r="HP342" s="5">
        <v>0.56032496459480996</v>
      </c>
      <c r="HQ342" s="5">
        <v>-0.20380462798745499</v>
      </c>
      <c r="HR342" s="5">
        <v>0.51962219479689198</v>
      </c>
      <c r="HS342" s="5">
        <v>-0.189361612279423</v>
      </c>
      <c r="HT342" s="5">
        <v>-1.7165356591800501E-2</v>
      </c>
      <c r="HU342" s="5">
        <v>0.20660695707444199</v>
      </c>
      <c r="HV342" s="5">
        <v>0.54775442383860595</v>
      </c>
      <c r="HW342" s="5">
        <v>-0.21041305177476199</v>
      </c>
      <c r="HX342" s="5">
        <v>0.74442620452362795</v>
      </c>
      <c r="HY342" s="5">
        <v>-0.42674063263065198</v>
      </c>
      <c r="HZ342" s="5">
        <v>-0.140353683447622</v>
      </c>
      <c r="IA342" s="5">
        <v>0.227116079194144</v>
      </c>
      <c r="IB342" s="5">
        <v>-0.352952250916229</v>
      </c>
      <c r="IC342" s="5">
        <v>0.27947681447075501</v>
      </c>
      <c r="ID342" s="5">
        <v>0.51814985691828097</v>
      </c>
      <c r="IE342" s="5">
        <v>-6.9624887895735996E-2</v>
      </c>
      <c r="IF342" s="5">
        <v>0.52845408365915703</v>
      </c>
      <c r="IG342" s="5">
        <v>-0.15100267065998699</v>
      </c>
      <c r="IH342" s="5">
        <v>0.32739580076486102</v>
      </c>
      <c r="II342" s="5">
        <v>-8.7722758011293298E-2</v>
      </c>
      <c r="IJ342" s="5">
        <v>0.44344117102119301</v>
      </c>
      <c r="IK342" s="5">
        <v>-0.34004494806994601</v>
      </c>
      <c r="IL342" s="5">
        <v>0.55078501241789901</v>
      </c>
      <c r="IM342" s="5">
        <v>-0.120558872278381</v>
      </c>
      <c r="IN342" s="5">
        <v>0.70980982545414695</v>
      </c>
      <c r="IO342" s="5">
        <v>-0.36567694843276199</v>
      </c>
      <c r="IP342" s="5">
        <v>0.52972314255256303</v>
      </c>
      <c r="IQ342" s="5">
        <v>-9.0784638601540693E-2</v>
      </c>
      <c r="IR342" s="5">
        <v>0.248554993602254</v>
      </c>
      <c r="IS342" s="5">
        <v>8.3459654815418102E-2</v>
      </c>
      <c r="IT342" s="5">
        <v>0.54657955386371804</v>
      </c>
      <c r="IU342" s="5">
        <v>-0.22282407999296899</v>
      </c>
      <c r="IV342" s="5">
        <v>0.529781977521946</v>
      </c>
      <c r="IW342" s="5">
        <v>-0.228904768926177</v>
      </c>
      <c r="IX342" s="5">
        <v>0.57414710150469805</v>
      </c>
      <c r="IY342" s="5">
        <v>-0.280193489339289</v>
      </c>
      <c r="IZ342" s="5">
        <v>-1.9639475454858901E-2</v>
      </c>
      <c r="JA342" s="5">
        <v>6.6005480520834797E-2</v>
      </c>
      <c r="JB342" s="5">
        <v>-0.236196237840263</v>
      </c>
      <c r="JC342" s="5">
        <v>0.15046973149600301</v>
      </c>
      <c r="JD342" s="5">
        <v>0.148215989765728</v>
      </c>
      <c r="JE342" s="5">
        <v>0.31874501282074802</v>
      </c>
      <c r="JF342" s="5">
        <v>0.45329975407634199</v>
      </c>
      <c r="JG342" s="5">
        <v>-0.33682661365780903</v>
      </c>
      <c r="JH342" s="5">
        <v>0.118951708167574</v>
      </c>
      <c r="JI342" s="5">
        <v>-5.7273421733928201E-2</v>
      </c>
      <c r="JJ342" s="5">
        <v>0.46856899011707598</v>
      </c>
      <c r="JK342" s="5">
        <v>1.3648883953727899E-2</v>
      </c>
      <c r="JL342" s="5">
        <v>0.357081846626082</v>
      </c>
      <c r="JM342" s="5">
        <v>6.7636320210453807E-2</v>
      </c>
      <c r="JN342" s="5">
        <v>0.64264946761910402</v>
      </c>
      <c r="JO342" s="5">
        <v>-0.370253333348255</v>
      </c>
      <c r="JP342" s="5">
        <v>0.70370949651683001</v>
      </c>
      <c r="JQ342" s="5">
        <v>-0.319850527396913</v>
      </c>
      <c r="JR342" s="5">
        <v>0.565023983929693</v>
      </c>
      <c r="JS342" s="5">
        <v>-0.17666198544206899</v>
      </c>
      <c r="JT342" s="5">
        <v>0.294343093543525</v>
      </c>
      <c r="JU342" s="5">
        <v>-2.68930342584782E-2</v>
      </c>
      <c r="JV342" s="5">
        <v>0.61797458457413801</v>
      </c>
      <c r="JW342" s="5">
        <v>-0.27193879996227899</v>
      </c>
      <c r="JX342" s="5">
        <v>-0.107796696025014</v>
      </c>
      <c r="JY342" s="5">
        <v>0.15669881742241801</v>
      </c>
      <c r="JZ342" s="5">
        <v>0.32887473529501998</v>
      </c>
      <c r="KA342" s="5">
        <v>-7.3206065393769004E-2</v>
      </c>
      <c r="KB342" s="5">
        <v>-0.148586821371574</v>
      </c>
      <c r="KC342" s="5">
        <v>0.13271800455615601</v>
      </c>
      <c r="KD342" s="5">
        <v>0.212716514423582</v>
      </c>
      <c r="KE342" s="5">
        <v>0.110146276377476</v>
      </c>
      <c r="KF342" s="5">
        <v>0.61876281767412999</v>
      </c>
      <c r="KG342" s="5">
        <v>-0.421434833647306</v>
      </c>
      <c r="KH342" s="5">
        <v>0.38846655923245499</v>
      </c>
      <c r="KI342" s="5">
        <v>1.0887057445576101E-2</v>
      </c>
      <c r="KJ342" s="5">
        <v>0.43362700850409802</v>
      </c>
      <c r="KK342" s="5">
        <v>-2.18699695214894E-2</v>
      </c>
      <c r="KL342" s="5">
        <v>0.41785474261806599</v>
      </c>
      <c r="KM342" s="5">
        <v>-0.29602419627342702</v>
      </c>
      <c r="KN342" s="5">
        <v>-3.5470252118554098E-2</v>
      </c>
      <c r="KO342" s="5">
        <v>0.14731798182243699</v>
      </c>
      <c r="KP342" s="5">
        <v>-0.38997136974650998</v>
      </c>
      <c r="KQ342" s="5">
        <v>0.285116684979216</v>
      </c>
      <c r="KR342" s="5">
        <v>0.50225575446672199</v>
      </c>
      <c r="KS342" s="5">
        <v>-0.14357724978175901</v>
      </c>
      <c r="KT342" s="5">
        <v>0.57178559570700205</v>
      </c>
      <c r="KU342" s="5">
        <v>-0.179196583023395</v>
      </c>
      <c r="KV342" s="5">
        <v>0.46950100320967098</v>
      </c>
      <c r="KW342" s="5">
        <v>-0.10218517481561799</v>
      </c>
      <c r="KX342" s="5">
        <v>0.53679843608798095</v>
      </c>
      <c r="KY342" s="5">
        <v>-0.148209349685818</v>
      </c>
      <c r="KZ342" s="5">
        <v>0.45416167799491602</v>
      </c>
      <c r="LA342" s="5">
        <v>-0.24968066762610899</v>
      </c>
      <c r="LB342" s="5">
        <v>0.64186427263943702</v>
      </c>
      <c r="LC342" s="5">
        <v>-0.29001364149004499</v>
      </c>
      <c r="LD342" s="5">
        <v>0.58439416549855705</v>
      </c>
      <c r="LE342" s="5">
        <v>-0.27113864516210201</v>
      </c>
      <c r="LF342" s="5">
        <v>2.06432280122383E-2</v>
      </c>
      <c r="LG342" s="5">
        <v>0.19350200167953499</v>
      </c>
      <c r="LH342" s="5">
        <v>0.53332790552278797</v>
      </c>
      <c r="LI342" s="5">
        <v>-0.139882396179112</v>
      </c>
      <c r="LJ342" s="5">
        <v>1.8672719289496199E-2</v>
      </c>
      <c r="LK342" s="5">
        <v>0.17212018520838701</v>
      </c>
      <c r="LL342" s="5">
        <v>0.43187190579631701</v>
      </c>
      <c r="LM342" s="5">
        <v>-0.113521137258004</v>
      </c>
      <c r="LN342" s="5">
        <v>0.63144652596895301</v>
      </c>
      <c r="LO342" s="5">
        <v>-0.39772888738855999</v>
      </c>
      <c r="LP342" s="5">
        <v>0.51976981767722796</v>
      </c>
      <c r="LQ342" s="5">
        <v>-0.30359286398684299</v>
      </c>
      <c r="LR342" s="5">
        <v>-0.10375860794386201</v>
      </c>
      <c r="LS342" s="5">
        <v>0.14718170306980899</v>
      </c>
      <c r="LT342" s="5">
        <v>-6.8934340127376606E-2</v>
      </c>
      <c r="LU342" s="5">
        <v>0.14604506975510301</v>
      </c>
      <c r="LV342" s="5">
        <v>-0.22577610657943301</v>
      </c>
      <c r="LW342" s="5">
        <v>0.163901988884635</v>
      </c>
      <c r="LX342" s="5">
        <v>0.34184214791996198</v>
      </c>
      <c r="LY342" s="5">
        <v>2.89498143206392E-2</v>
      </c>
      <c r="LZ342" s="5">
        <v>0.62680828760072405</v>
      </c>
      <c r="MA342" s="5">
        <v>-0.31217608620600501</v>
      </c>
      <c r="MB342" s="5">
        <v>0.65396884857811599</v>
      </c>
      <c r="MC342" s="5">
        <v>-0.34850400452654501</v>
      </c>
      <c r="MD342" s="5">
        <v>1</v>
      </c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</row>
    <row r="343" spans="1:389" x14ac:dyDescent="0.45">
      <c r="A343" s="4" t="str">
        <f ca="1">"THA / beta2dist in "&amp;CELL("address",'damages-1990'!$K$172)</f>
        <v>THA / beta2dist in '[BHM betas v3pd.xlsx]damages-1990'!$K$172</v>
      </c>
      <c r="B343" s="6">
        <v>-3.1082836055555001E-2</v>
      </c>
      <c r="C343" s="5">
        <v>-7.7591860661737302E-2</v>
      </c>
      <c r="D343" s="5">
        <v>-0.36495687718992598</v>
      </c>
      <c r="E343" s="5">
        <v>0.33170773625646799</v>
      </c>
      <c r="F343" s="5">
        <v>-1.12183952712086E-2</v>
      </c>
      <c r="G343" s="5">
        <v>-4.1175643176087698E-2</v>
      </c>
      <c r="H343" s="5">
        <v>0.16334133836433501</v>
      </c>
      <c r="I343" s="5">
        <v>-0.17616322334071499</v>
      </c>
      <c r="J343" s="5">
        <v>-0.29858080690167899</v>
      </c>
      <c r="K343" s="5">
        <v>0.23657814641754699</v>
      </c>
      <c r="L343" s="5">
        <v>-0.21314697029964</v>
      </c>
      <c r="M343" s="5">
        <v>0.18142099631623501</v>
      </c>
      <c r="N343" s="5">
        <v>3.1644985474283099E-2</v>
      </c>
      <c r="O343" s="5">
        <v>-4.65588664482222E-2</v>
      </c>
      <c r="P343" s="5">
        <v>-0.29108171025795299</v>
      </c>
      <c r="Q343" s="5">
        <v>0.27960970385635803</v>
      </c>
      <c r="R343" s="5">
        <v>-0.32096930312402699</v>
      </c>
      <c r="S343" s="5">
        <v>0.28382860493888901</v>
      </c>
      <c r="T343" s="5">
        <v>3.7590230110536103E-2</v>
      </c>
      <c r="U343" s="5">
        <v>-5.34734616098076E-2</v>
      </c>
      <c r="V343" s="5">
        <v>1.1201655733264501E-2</v>
      </c>
      <c r="W343" s="5">
        <v>-0.175482263465505</v>
      </c>
      <c r="X343" s="5">
        <v>-0.31268491087362499</v>
      </c>
      <c r="Y343" s="5">
        <v>0.27312677576324002</v>
      </c>
      <c r="Z343" s="5">
        <v>1.7405819055121698E-2</v>
      </c>
      <c r="AA343" s="5">
        <v>-1.7847840624797599E-2</v>
      </c>
      <c r="AB343" s="5">
        <v>-0.57634281957477496</v>
      </c>
      <c r="AC343" s="5">
        <v>0.63129289354944895</v>
      </c>
      <c r="AD343" s="5">
        <v>-0.53402804810113602</v>
      </c>
      <c r="AE343" s="5">
        <v>0.54266003280403496</v>
      </c>
      <c r="AF343" s="5">
        <v>-0.32161614160820501</v>
      </c>
      <c r="AG343" s="5">
        <v>0.28322283884259097</v>
      </c>
      <c r="AH343" s="5">
        <v>-4.3791380982716897E-3</v>
      </c>
      <c r="AI343" s="5">
        <v>-3.9281100350148999E-2</v>
      </c>
      <c r="AJ343" s="5">
        <v>-0.29035445313929897</v>
      </c>
      <c r="AK343" s="5">
        <v>0.22451135724395599</v>
      </c>
      <c r="AL343" s="5">
        <v>-0.28237403769129599</v>
      </c>
      <c r="AM343" s="5">
        <v>0.28686120305825002</v>
      </c>
      <c r="AN343" s="5">
        <v>5.5752661367762198E-2</v>
      </c>
      <c r="AO343" s="5">
        <v>-9.4545678648707596E-2</v>
      </c>
      <c r="AP343" s="5">
        <v>3.1278292569397199E-3</v>
      </c>
      <c r="AQ343" s="5">
        <v>-1.1630724632536E-2</v>
      </c>
      <c r="AR343" s="5">
        <v>-0.377654076880032</v>
      </c>
      <c r="AS343" s="5">
        <v>0.403797426624252</v>
      </c>
      <c r="AT343" s="5">
        <v>-0.133244568096727</v>
      </c>
      <c r="AU343" s="5">
        <v>0.100432507284374</v>
      </c>
      <c r="AV343" s="5">
        <v>-0.50548460019946995</v>
      </c>
      <c r="AW343" s="5">
        <v>0.60260231282527998</v>
      </c>
      <c r="AX343" s="5">
        <v>-0.489977087632048</v>
      </c>
      <c r="AY343" s="5">
        <v>0.55392709050840006</v>
      </c>
      <c r="AZ343" s="5">
        <v>-0.36229997583977902</v>
      </c>
      <c r="BA343" s="5">
        <v>0.35960465406500902</v>
      </c>
      <c r="BB343" s="5">
        <v>-0.308084545822362</v>
      </c>
      <c r="BC343" s="5">
        <v>0.23474937290472001</v>
      </c>
      <c r="BD343" s="5">
        <v>1.0513554017645499E-2</v>
      </c>
      <c r="BE343" s="5">
        <v>-0.11463172172073199</v>
      </c>
      <c r="BF343" s="5">
        <v>-0.32728971654709099</v>
      </c>
      <c r="BG343" s="5">
        <v>0.25706681789068903</v>
      </c>
      <c r="BH343" s="5">
        <v>-0.49045723945722702</v>
      </c>
      <c r="BI343" s="5">
        <v>0.51623520126744404</v>
      </c>
      <c r="BJ343" s="5">
        <v>0.21383710040869</v>
      </c>
      <c r="BK343" s="5">
        <v>-0.304418770002164</v>
      </c>
      <c r="BL343" s="5">
        <v>1.7312620625083101E-2</v>
      </c>
      <c r="BM343" s="5">
        <v>-2.6204473391772901E-2</v>
      </c>
      <c r="BN343" s="5">
        <v>0.15865080537436699</v>
      </c>
      <c r="BO343" s="5">
        <v>-0.21153629277359901</v>
      </c>
      <c r="BP343" s="5">
        <v>0.18149873033899</v>
      </c>
      <c r="BQ343" s="5">
        <v>-0.311427896944728</v>
      </c>
      <c r="BR343" s="5">
        <v>-0.51669815900733695</v>
      </c>
      <c r="BS343" s="5">
        <v>0.54379024231875905</v>
      </c>
      <c r="BT343" s="5">
        <v>-0.54269078938804705</v>
      </c>
      <c r="BU343" s="5">
        <v>0.61448055708228599</v>
      </c>
      <c r="BV343" s="5">
        <v>-0.427895787078857</v>
      </c>
      <c r="BW343" s="5">
        <v>0.42884472402009799</v>
      </c>
      <c r="BX343" s="5">
        <v>-0.42592443605167302</v>
      </c>
      <c r="BY343" s="5">
        <v>0.475298658055823</v>
      </c>
      <c r="BZ343" s="5">
        <v>-0.53806985705430499</v>
      </c>
      <c r="CA343" s="5">
        <v>0.54957025797108205</v>
      </c>
      <c r="CB343" s="5">
        <v>-0.38873783613830498</v>
      </c>
      <c r="CC343" s="5">
        <v>0.42266965458758798</v>
      </c>
      <c r="CD343" s="5">
        <v>-0.11323968189395001</v>
      </c>
      <c r="CE343" s="5">
        <v>6.3958318449886795E-2</v>
      </c>
      <c r="CF343" s="5">
        <v>-0.49427080114929201</v>
      </c>
      <c r="CG343" s="5">
        <v>0.494562152373555</v>
      </c>
      <c r="CH343" s="5">
        <v>-0.21930879496016401</v>
      </c>
      <c r="CI343" s="5">
        <v>0.259667000088249</v>
      </c>
      <c r="CJ343" s="5">
        <v>-5.8178211761307497E-2</v>
      </c>
      <c r="CK343" s="5">
        <v>4.0916009687122501E-2</v>
      </c>
      <c r="CL343" s="5">
        <v>3.5294405337012301E-2</v>
      </c>
      <c r="CM343" s="5">
        <v>-5.7145761623493101E-2</v>
      </c>
      <c r="CN343" s="5">
        <v>2.7280314537435998E-2</v>
      </c>
      <c r="CO343" s="5">
        <v>-4.41170959754748E-2</v>
      </c>
      <c r="CP343" s="5">
        <v>-0.37260901674976299</v>
      </c>
      <c r="CQ343" s="5">
        <v>0.32023879763810797</v>
      </c>
      <c r="CR343" s="5">
        <v>-0.24229610880338601</v>
      </c>
      <c r="CS343" s="5">
        <v>0.231557268629317</v>
      </c>
      <c r="CT343" s="5">
        <v>-3.3990591894333101E-2</v>
      </c>
      <c r="CU343" s="5">
        <v>5.3488123636074303E-2</v>
      </c>
      <c r="CV343" s="5">
        <v>-0.38836719676939102</v>
      </c>
      <c r="CW343" s="5">
        <v>0.40149708090693498</v>
      </c>
      <c r="CX343" s="5">
        <v>-0.52484241571434098</v>
      </c>
      <c r="CY343" s="5">
        <v>0.55471157998171805</v>
      </c>
      <c r="CZ343" s="5">
        <v>-0.53065078055646597</v>
      </c>
      <c r="DA343" s="5">
        <v>0.53776884129160896</v>
      </c>
      <c r="DB343" s="5">
        <v>-0.26616703687902199</v>
      </c>
      <c r="DC343" s="5">
        <v>0.19269774464745301</v>
      </c>
      <c r="DD343" s="5">
        <v>-0.34483189101265399</v>
      </c>
      <c r="DE343" s="5">
        <v>0.33088836345400902</v>
      </c>
      <c r="DF343" s="5">
        <v>-0.245940694660569</v>
      </c>
      <c r="DG343" s="5">
        <v>0.22341894327136899</v>
      </c>
      <c r="DH343" s="5">
        <v>-0.112064819281656</v>
      </c>
      <c r="DI343" s="5">
        <v>7.4777098752125598E-2</v>
      </c>
      <c r="DJ343" s="5">
        <v>-7.0866569078993497E-3</v>
      </c>
      <c r="DK343" s="5">
        <v>6.17824470197402E-3</v>
      </c>
      <c r="DL343" s="5">
        <v>-0.28934414259760799</v>
      </c>
      <c r="DM343" s="5">
        <v>0.28192971608275902</v>
      </c>
      <c r="DN343" s="5">
        <v>5.0134158769407702E-2</v>
      </c>
      <c r="DO343" s="5">
        <v>-6.1284359052255898E-2</v>
      </c>
      <c r="DP343" s="5">
        <v>-0.15710033832124701</v>
      </c>
      <c r="DQ343" s="5">
        <v>0.12766836296794401</v>
      </c>
      <c r="DR343" s="5">
        <v>-3.7839232867490301E-3</v>
      </c>
      <c r="DS343" s="5">
        <v>-1.00221720930222E-2</v>
      </c>
      <c r="DT343" s="5">
        <v>-0.28701891695116999</v>
      </c>
      <c r="DU343" s="5">
        <v>0.26859398158575698</v>
      </c>
      <c r="DV343" s="5">
        <v>-0.37919890425841302</v>
      </c>
      <c r="DW343" s="5">
        <v>0.42496433156690999</v>
      </c>
      <c r="DX343" s="5">
        <v>5.9163562195670198E-2</v>
      </c>
      <c r="DY343" s="5">
        <v>-3.4798313950488102E-2</v>
      </c>
      <c r="DZ343" s="5">
        <v>-2.6853207375517298E-2</v>
      </c>
      <c r="EA343" s="5">
        <v>4.8885890447340097E-2</v>
      </c>
      <c r="EB343" s="5">
        <v>-0.61931935249713299</v>
      </c>
      <c r="EC343" s="5">
        <v>0.63286324965413199</v>
      </c>
      <c r="ED343" s="5">
        <v>-0.50688049021736403</v>
      </c>
      <c r="EE343" s="5">
        <v>0.491224214335446</v>
      </c>
      <c r="EF343" s="5">
        <v>-0.25226593805000802</v>
      </c>
      <c r="EG343" s="5">
        <v>0.23858393834202701</v>
      </c>
      <c r="EH343" s="5">
        <v>-0.356065664517068</v>
      </c>
      <c r="EI343" s="5">
        <v>0.363024296724688</v>
      </c>
      <c r="EJ343" s="5">
        <v>-0.38834191372078702</v>
      </c>
      <c r="EK343" s="5">
        <v>0.38332993512317798</v>
      </c>
      <c r="EL343" s="5">
        <v>-0.58857340929886204</v>
      </c>
      <c r="EM343" s="5">
        <v>0.67193474369781003</v>
      </c>
      <c r="EN343" s="5">
        <v>-0.10270238724471099</v>
      </c>
      <c r="EO343" s="5">
        <v>7.2550522815040694E-2</v>
      </c>
      <c r="EP343" s="5">
        <v>-0.38055769380725502</v>
      </c>
      <c r="EQ343" s="5">
        <v>0.371596437419417</v>
      </c>
      <c r="ER343" s="5">
        <v>-0.35172437371877402</v>
      </c>
      <c r="ES343" s="5">
        <v>0.35713041393129202</v>
      </c>
      <c r="ET343" s="5">
        <v>-0.26945050910910301</v>
      </c>
      <c r="EU343" s="5">
        <v>0.33168793543696301</v>
      </c>
      <c r="EV343" s="5">
        <v>-0.40998106006916202</v>
      </c>
      <c r="EW343" s="5">
        <v>0.47361321741601897</v>
      </c>
      <c r="EX343" s="5">
        <v>-0.27886915760051501</v>
      </c>
      <c r="EY343" s="5">
        <v>0.38901385643519198</v>
      </c>
      <c r="EZ343" s="5">
        <v>-0.42067726453074999</v>
      </c>
      <c r="FA343" s="5">
        <v>0.44891843679860399</v>
      </c>
      <c r="FB343" s="5">
        <v>-2.9134226040337E-2</v>
      </c>
      <c r="FC343" s="5">
        <v>9.0715684328837899E-3</v>
      </c>
      <c r="FD343" s="5">
        <v>-0.35289147779709801</v>
      </c>
      <c r="FE343" s="5">
        <v>0.39384067951333601</v>
      </c>
      <c r="FF343" s="5">
        <v>-5.1124105844746201E-3</v>
      </c>
      <c r="FG343" s="5">
        <v>-1.14585345168696E-2</v>
      </c>
      <c r="FH343" s="5">
        <v>-0.35277944942399703</v>
      </c>
      <c r="FI343" s="5">
        <v>0.42434927377993398</v>
      </c>
      <c r="FJ343" s="5">
        <v>-0.33537320883628802</v>
      </c>
      <c r="FK343" s="5">
        <v>0.24707774651093201</v>
      </c>
      <c r="FL343" s="5">
        <v>0.16451465865231199</v>
      </c>
      <c r="FM343" s="5">
        <v>-0.14794687078462601</v>
      </c>
      <c r="FN343" s="5">
        <v>-0.16234952133782099</v>
      </c>
      <c r="FO343" s="5">
        <v>8.1294166422077901E-2</v>
      </c>
      <c r="FP343" s="5">
        <v>-0.24859649807614301</v>
      </c>
      <c r="FQ343" s="5">
        <v>0.18342790092331099</v>
      </c>
      <c r="FR343" s="5">
        <v>0.24725697524732199</v>
      </c>
      <c r="FS343" s="5">
        <v>-0.22195735373616499</v>
      </c>
      <c r="FT343" s="5">
        <v>-0.247714092605787</v>
      </c>
      <c r="FU343" s="5">
        <v>0.17283329190608199</v>
      </c>
      <c r="FV343" s="5">
        <v>-8.8728287046477602E-2</v>
      </c>
      <c r="FW343" s="5">
        <v>8.5585691910273501E-2</v>
      </c>
      <c r="FX343" s="5">
        <v>-0.46430576993296702</v>
      </c>
      <c r="FY343" s="5">
        <v>0.49928802118023402</v>
      </c>
      <c r="FZ343" s="5">
        <v>-0.27450969467356601</v>
      </c>
      <c r="GA343" s="5">
        <v>0.18591972213118699</v>
      </c>
      <c r="GB343" s="5">
        <v>4.7571496097793204E-3</v>
      </c>
      <c r="GC343" s="5">
        <v>-5.79662749635537E-2</v>
      </c>
      <c r="GD343" s="5">
        <v>0.14020554264270199</v>
      </c>
      <c r="GE343" s="5">
        <v>-0.130636812049477</v>
      </c>
      <c r="GF343" s="5">
        <v>-0.10929083091297601</v>
      </c>
      <c r="GG343" s="5">
        <v>0.12706566676682099</v>
      </c>
      <c r="GH343" s="5">
        <v>0.371923112990167</v>
      </c>
      <c r="GI343" s="5">
        <v>-0.40002694898568603</v>
      </c>
      <c r="GJ343" s="5">
        <v>-0.64202743086124503</v>
      </c>
      <c r="GK343" s="5">
        <v>0.77821796129066501</v>
      </c>
      <c r="GL343" s="5">
        <v>-0.339676667200703</v>
      </c>
      <c r="GM343" s="5">
        <v>0.30476079400170902</v>
      </c>
      <c r="GN343" s="5">
        <v>-8.5543095444354494E-3</v>
      </c>
      <c r="GO343" s="5">
        <v>-4.6426172009762602E-2</v>
      </c>
      <c r="GP343" s="5">
        <v>-0.31932962619921101</v>
      </c>
      <c r="GQ343" s="5">
        <v>0.27290571745730902</v>
      </c>
      <c r="GR343" s="5">
        <v>-0.69037493699644703</v>
      </c>
      <c r="GS343" s="5">
        <v>0.84433618966759205</v>
      </c>
      <c r="GT343" s="5">
        <v>-0.154288306137461</v>
      </c>
      <c r="GU343" s="5">
        <v>7.71108571469757E-2</v>
      </c>
      <c r="GV343" s="5">
        <v>-0.36844574159926202</v>
      </c>
      <c r="GW343" s="5">
        <v>0.46337341523280501</v>
      </c>
      <c r="GX343" s="5">
        <v>-0.36778819402934299</v>
      </c>
      <c r="GY343" s="5">
        <v>0.39394725895902399</v>
      </c>
      <c r="GZ343" s="5">
        <v>3.4018167494927198E-2</v>
      </c>
      <c r="HA343" s="5">
        <v>-5.3181735884169197E-2</v>
      </c>
      <c r="HB343" s="5">
        <v>-0.31690170983987798</v>
      </c>
      <c r="HC343" s="5">
        <v>0.32633050881618397</v>
      </c>
      <c r="HD343" s="5">
        <v>1.8479345015686401E-2</v>
      </c>
      <c r="HE343" s="5">
        <v>-0.13313775538741501</v>
      </c>
      <c r="HF343" s="5">
        <v>7.3418604089291999E-3</v>
      </c>
      <c r="HG343" s="5">
        <v>-1.74788850382579E-2</v>
      </c>
      <c r="HH343" s="5">
        <v>3.4621761925477203E-2</v>
      </c>
      <c r="HI343" s="5">
        <v>-5.0434526995402698E-2</v>
      </c>
      <c r="HJ343" s="5">
        <v>-4.96555861763539E-3</v>
      </c>
      <c r="HK343" s="5">
        <v>1.17756186300393E-3</v>
      </c>
      <c r="HL343" s="5">
        <v>-0.35547682718038198</v>
      </c>
      <c r="HM343" s="5">
        <v>0.34991247266527697</v>
      </c>
      <c r="HN343" s="5">
        <v>-1.3481474014984901E-2</v>
      </c>
      <c r="HO343" s="5">
        <v>-1.26777029583441E-3</v>
      </c>
      <c r="HP343" s="5">
        <v>-0.31499945197110801</v>
      </c>
      <c r="HQ343" s="5">
        <v>0.365133760852697</v>
      </c>
      <c r="HR343" s="5">
        <v>-0.27509867320506298</v>
      </c>
      <c r="HS343" s="5">
        <v>0.320797050872</v>
      </c>
      <c r="HT343" s="5">
        <v>3.2168539659651302E-2</v>
      </c>
      <c r="HU343" s="5">
        <v>-8.0556131116336499E-2</v>
      </c>
      <c r="HV343" s="5">
        <v>-0.44900083863219098</v>
      </c>
      <c r="HW343" s="5">
        <v>0.48043849984556602</v>
      </c>
      <c r="HX343" s="5">
        <v>-0.56702140299644799</v>
      </c>
      <c r="HY343" s="5">
        <v>0.65417402612646902</v>
      </c>
      <c r="HZ343" s="5">
        <v>0.101844461969937</v>
      </c>
      <c r="IA343" s="5">
        <v>-0.14572280128090401</v>
      </c>
      <c r="IB343" s="5">
        <v>0.28245845685425802</v>
      </c>
      <c r="IC343" s="5">
        <v>-0.28338023641833798</v>
      </c>
      <c r="ID343" s="5">
        <v>-0.25340046757680101</v>
      </c>
      <c r="IE343" s="5">
        <v>0.18881585447182</v>
      </c>
      <c r="IF343" s="5">
        <v>-0.38795420365706901</v>
      </c>
      <c r="IG343" s="5">
        <v>0.39536981265988702</v>
      </c>
      <c r="IH343" s="5">
        <v>-0.29796114542968699</v>
      </c>
      <c r="II343" s="5">
        <v>0.29075133628732702</v>
      </c>
      <c r="IJ343" s="5">
        <v>-0.34842468948277799</v>
      </c>
      <c r="IK343" s="5">
        <v>0.42786794498115599</v>
      </c>
      <c r="IL343" s="5">
        <v>-0.299496731218234</v>
      </c>
      <c r="IM343" s="5">
        <v>0.24274378818891901</v>
      </c>
      <c r="IN343" s="5">
        <v>-0.441043243291942</v>
      </c>
      <c r="IO343" s="5">
        <v>0.46793401831105302</v>
      </c>
      <c r="IP343" s="5">
        <v>-0.33498210388524102</v>
      </c>
      <c r="IQ343" s="5">
        <v>0.24954353537778401</v>
      </c>
      <c r="IR343" s="5">
        <v>-8.5616841477130404E-2</v>
      </c>
      <c r="IS343" s="5">
        <v>-5.4582733358122699E-2</v>
      </c>
      <c r="IT343" s="5">
        <v>-0.41844208296137098</v>
      </c>
      <c r="IU343" s="5">
        <v>0.46071081158095101</v>
      </c>
      <c r="IV343" s="5">
        <v>-0.471923792977401</v>
      </c>
      <c r="IW343" s="5">
        <v>0.51916626874894301</v>
      </c>
      <c r="IX343" s="5">
        <v>-0.45313768742423099</v>
      </c>
      <c r="IY343" s="5">
        <v>0.49490768748855601</v>
      </c>
      <c r="IZ343" s="5">
        <v>-2.4417981243465899E-2</v>
      </c>
      <c r="JA343" s="5">
        <v>3.56903940672691E-2</v>
      </c>
      <c r="JB343" s="5">
        <v>8.1713787915174106E-3</v>
      </c>
      <c r="JC343" s="5">
        <v>5.7257490151322596E-3</v>
      </c>
      <c r="JD343" s="5">
        <v>-4.8543891200486002E-2</v>
      </c>
      <c r="JE343" s="5">
        <v>-7.7527017774667306E-2</v>
      </c>
      <c r="JF343" s="5">
        <v>-0.30149093855835102</v>
      </c>
      <c r="JG343" s="5">
        <v>0.39810549410019302</v>
      </c>
      <c r="JH343" s="5">
        <v>-0.14417635435236101</v>
      </c>
      <c r="JI343" s="5">
        <v>0.17968272266534199</v>
      </c>
      <c r="JJ343" s="5">
        <v>-0.28164525493570097</v>
      </c>
      <c r="JK343" s="5">
        <v>0.21219346137662201</v>
      </c>
      <c r="JL343" s="5">
        <v>-0.24264870833587199</v>
      </c>
      <c r="JM343" s="5">
        <v>0.18174766171318901</v>
      </c>
      <c r="JN343" s="5">
        <v>-0.56149445083668703</v>
      </c>
      <c r="JO343" s="5">
        <v>0.57790413882208103</v>
      </c>
      <c r="JP343" s="5">
        <v>-0.50799675303631597</v>
      </c>
      <c r="JQ343" s="5">
        <v>0.53712060316529597</v>
      </c>
      <c r="JR343" s="5">
        <v>-0.29029133818096903</v>
      </c>
      <c r="JS343" s="5">
        <v>0.26614970275827499</v>
      </c>
      <c r="JT343" s="5">
        <v>-5.4407553285979203E-2</v>
      </c>
      <c r="JU343" s="5">
        <v>1.4784161374928601E-2</v>
      </c>
      <c r="JV343" s="5">
        <v>-0.32033615028416201</v>
      </c>
      <c r="JW343" s="5">
        <v>0.34118622147644501</v>
      </c>
      <c r="JX343" s="5">
        <v>3.95613268541085E-2</v>
      </c>
      <c r="JY343" s="5">
        <v>-6.2948402302546697E-2</v>
      </c>
      <c r="JZ343" s="5">
        <v>-0.36156010687773599</v>
      </c>
      <c r="KA343" s="5">
        <v>0.31628602927632898</v>
      </c>
      <c r="KB343" s="5">
        <v>-2.7973179775615701E-2</v>
      </c>
      <c r="KC343" s="5">
        <v>4.5948911774366601E-2</v>
      </c>
      <c r="KD343" s="5">
        <v>-8.3968780545416094E-2</v>
      </c>
      <c r="KE343" s="5">
        <v>4.1222345362998698E-3</v>
      </c>
      <c r="KF343" s="5">
        <v>-0.42136158137849899</v>
      </c>
      <c r="KG343" s="5">
        <v>0.500100389688245</v>
      </c>
      <c r="KH343" s="5">
        <v>-0.23166411458231501</v>
      </c>
      <c r="KI343" s="5">
        <v>0.14951196103689399</v>
      </c>
      <c r="KJ343" s="5">
        <v>-0.29245626751436399</v>
      </c>
      <c r="KK343" s="5">
        <v>0.228899855909936</v>
      </c>
      <c r="KL343" s="5">
        <v>-0.24517603360172099</v>
      </c>
      <c r="KM343" s="5">
        <v>0.33936833387764898</v>
      </c>
      <c r="KN343" s="5">
        <v>3.1632881985608902E-2</v>
      </c>
      <c r="KO343" s="5">
        <v>-6.1487712945074401E-2</v>
      </c>
      <c r="KP343" s="5">
        <v>0.247679053526486</v>
      </c>
      <c r="KQ343" s="5">
        <v>-0.23837217058601501</v>
      </c>
      <c r="KR343" s="5">
        <v>-0.335001738956407</v>
      </c>
      <c r="KS343" s="5">
        <v>0.33545549943553998</v>
      </c>
      <c r="KT343" s="5">
        <v>-0.42852727530898299</v>
      </c>
      <c r="KU343" s="5">
        <v>0.42933506090568002</v>
      </c>
      <c r="KV343" s="5">
        <v>-0.31205569588728499</v>
      </c>
      <c r="KW343" s="5">
        <v>0.32022083675395902</v>
      </c>
      <c r="KX343" s="5">
        <v>-0.40017208825475298</v>
      </c>
      <c r="KY343" s="5">
        <v>0.39465599280592101</v>
      </c>
      <c r="KZ343" s="5">
        <v>-0.315243195183117</v>
      </c>
      <c r="LA343" s="5">
        <v>0.34165427110461799</v>
      </c>
      <c r="LB343" s="5">
        <v>-0.452774972908628</v>
      </c>
      <c r="LC343" s="5">
        <v>0.47435869043657503</v>
      </c>
      <c r="LD343" s="5">
        <v>-0.43398108767981097</v>
      </c>
      <c r="LE343" s="5">
        <v>0.45657245320704798</v>
      </c>
      <c r="LF343" s="5">
        <v>3.6987661868477799E-3</v>
      </c>
      <c r="LG343" s="5">
        <v>-4.2483746728483603E-2</v>
      </c>
      <c r="LH343" s="5">
        <v>-0.34998299228865198</v>
      </c>
      <c r="LI343" s="5">
        <v>0.34308293792532302</v>
      </c>
      <c r="LJ343" s="5">
        <v>-1.5747097677916899E-3</v>
      </c>
      <c r="LK343" s="5">
        <v>-3.3024482220530699E-2</v>
      </c>
      <c r="LL343" s="5">
        <v>-0.268631029104477</v>
      </c>
      <c r="LM343" s="5">
        <v>0.30399523194885703</v>
      </c>
      <c r="LN343" s="5">
        <v>-0.48505000093672501</v>
      </c>
      <c r="LO343" s="5">
        <v>0.54416447976462201</v>
      </c>
      <c r="LP343" s="5">
        <v>-0.31938327833577002</v>
      </c>
      <c r="LQ343" s="5">
        <v>0.43098043230472599</v>
      </c>
      <c r="LR343" s="5">
        <v>5.8064235676843899E-2</v>
      </c>
      <c r="LS343" s="5">
        <v>-8.7932676938812002E-2</v>
      </c>
      <c r="LT343" s="5">
        <v>1.6371813635879001E-2</v>
      </c>
      <c r="LU343" s="5">
        <v>-3.4159383573012798E-2</v>
      </c>
      <c r="LV343" s="5">
        <v>1.06984593026468E-2</v>
      </c>
      <c r="LW343" s="5">
        <v>-1.30731787740298E-2</v>
      </c>
      <c r="LX343" s="5">
        <v>-0.19751690212132</v>
      </c>
      <c r="LY343" s="5">
        <v>0.11719370693915999</v>
      </c>
      <c r="LZ343" s="5">
        <v>-0.46345657479224101</v>
      </c>
      <c r="MA343" s="5">
        <v>0.53473465244753104</v>
      </c>
      <c r="MB343" s="5">
        <v>-0.58147806562611304</v>
      </c>
      <c r="MC343" s="5">
        <v>0.63024584030177799</v>
      </c>
      <c r="MD343" s="5">
        <v>-0.83420301123682905</v>
      </c>
      <c r="ME343" s="5">
        <v>1</v>
      </c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</row>
    <row r="344" spans="1:389" x14ac:dyDescent="0.45">
      <c r="A344" s="4" t="str">
        <f ca="1">"TJK / beta1dist in "&amp;CELL("address",'damages-1990'!$J$173)</f>
        <v>TJK / beta1dist in '[BHM betas v3pd.xlsx]damages-1990'!$J$173</v>
      </c>
      <c r="B344" s="6">
        <v>0.249134476919703</v>
      </c>
      <c r="C344" s="5">
        <v>-0.137488007650407</v>
      </c>
      <c r="D344" s="5">
        <v>-0.30880773663375399</v>
      </c>
      <c r="E344" s="5">
        <v>0.32258125657000702</v>
      </c>
      <c r="F344" s="5">
        <v>0.29501941253785602</v>
      </c>
      <c r="G344" s="5">
        <v>-0.16826125445367199</v>
      </c>
      <c r="H344" s="5">
        <v>0.428014973097886</v>
      </c>
      <c r="I344" s="5">
        <v>-0.30847561898137299</v>
      </c>
      <c r="J344" s="5">
        <v>-0.39453488022852401</v>
      </c>
      <c r="K344" s="5">
        <v>0.34083345047967101</v>
      </c>
      <c r="L344" s="5">
        <v>-4.1550111867569302E-2</v>
      </c>
      <c r="M344" s="5">
        <v>0.18482607797522599</v>
      </c>
      <c r="N344" s="5">
        <v>0.39474538048494401</v>
      </c>
      <c r="O344" s="5">
        <v>-0.16589856340230899</v>
      </c>
      <c r="P344" s="5">
        <v>-0.20978339911951399</v>
      </c>
      <c r="Q344" s="5">
        <v>0.146309054174033</v>
      </c>
      <c r="R344" s="5">
        <v>-0.17991479748811801</v>
      </c>
      <c r="S344" s="5">
        <v>0.17214607955576999</v>
      </c>
      <c r="T344" s="5">
        <v>0.27995873592993598</v>
      </c>
      <c r="U344" s="5">
        <v>-9.1723450704170706E-2</v>
      </c>
      <c r="V344" s="5">
        <v>0.31825385541328999</v>
      </c>
      <c r="W344" s="5">
        <v>-0.31085330182521198</v>
      </c>
      <c r="X344" s="5">
        <v>-0.27657654356537897</v>
      </c>
      <c r="Y344" s="5">
        <v>0.30118889470541399</v>
      </c>
      <c r="Z344" s="5">
        <v>0.343323976528568</v>
      </c>
      <c r="AA344" s="5">
        <v>-0.15676059947534199</v>
      </c>
      <c r="AB344" s="5">
        <v>-0.31751603209024198</v>
      </c>
      <c r="AC344" s="5">
        <v>0.32979753953565999</v>
      </c>
      <c r="AD344" s="5">
        <v>-0.27097077543633602</v>
      </c>
      <c r="AE344" s="5">
        <v>0.24440132774705001</v>
      </c>
      <c r="AF344" s="5">
        <v>-0.201636659067608</v>
      </c>
      <c r="AG344" s="5">
        <v>0.173410229164774</v>
      </c>
      <c r="AH344" s="5">
        <v>0.29918179149609297</v>
      </c>
      <c r="AI344" s="5">
        <v>-0.14789133617193001</v>
      </c>
      <c r="AJ344" s="5">
        <v>-0.324748523865383</v>
      </c>
      <c r="AK344" s="5">
        <v>0.25897207826635699</v>
      </c>
      <c r="AL344" s="5">
        <v>-0.10966314384237601</v>
      </c>
      <c r="AM344" s="5">
        <v>5.5665214978040202E-2</v>
      </c>
      <c r="AN344" s="5">
        <v>0.29235135337769003</v>
      </c>
      <c r="AO344" s="5">
        <v>-9.9852286703042706E-2</v>
      </c>
      <c r="AP344" s="5">
        <v>0.22691741412902899</v>
      </c>
      <c r="AQ344" s="5">
        <v>-1.91949396672778E-2</v>
      </c>
      <c r="AR344" s="5">
        <v>-0.160257868678645</v>
      </c>
      <c r="AS344" s="5">
        <v>0.11781668934256601</v>
      </c>
      <c r="AT344" s="5">
        <v>-8.8367998165260198E-2</v>
      </c>
      <c r="AU344" s="5">
        <v>8.3081762722188396E-2</v>
      </c>
      <c r="AV344" s="5">
        <v>-0.17649862204088901</v>
      </c>
      <c r="AW344" s="5">
        <v>0.14269057725035</v>
      </c>
      <c r="AX344" s="5">
        <v>-0.24397226739619199</v>
      </c>
      <c r="AY344" s="5">
        <v>0.19623858275230099</v>
      </c>
      <c r="AZ344" s="5">
        <v>-0.25964446204219999</v>
      </c>
      <c r="BA344" s="5">
        <v>0.21949226442782399</v>
      </c>
      <c r="BB344" s="5">
        <v>-0.20674117598069999</v>
      </c>
      <c r="BC344" s="5">
        <v>0.16175448422306901</v>
      </c>
      <c r="BD344" s="5">
        <v>0.35695852098340902</v>
      </c>
      <c r="BE344" s="5">
        <v>-0.24555541550840199</v>
      </c>
      <c r="BF344" s="5">
        <v>-0.206793075184451</v>
      </c>
      <c r="BG344" s="5">
        <v>0.20147091822466101</v>
      </c>
      <c r="BH344" s="5">
        <v>-0.32731717229234097</v>
      </c>
      <c r="BI344" s="5">
        <v>0.33909816024938899</v>
      </c>
      <c r="BJ344" s="5">
        <v>0.30239749054368598</v>
      </c>
      <c r="BK344" s="5">
        <v>-0.104240381634507</v>
      </c>
      <c r="BL344" s="5">
        <v>0.31987680489579301</v>
      </c>
      <c r="BM344" s="5">
        <v>-0.15161014423211899</v>
      </c>
      <c r="BN344" s="5">
        <v>0.56274439502769502</v>
      </c>
      <c r="BO344" s="5">
        <v>-0.43997483762390099</v>
      </c>
      <c r="BP344" s="5">
        <v>0.56333731014112798</v>
      </c>
      <c r="BQ344" s="5">
        <v>-0.47616598037636698</v>
      </c>
      <c r="BR344" s="5">
        <v>-0.264444604714343</v>
      </c>
      <c r="BS344" s="5">
        <v>0.28584985773742799</v>
      </c>
      <c r="BT344" s="5">
        <v>-0.260467707924951</v>
      </c>
      <c r="BU344" s="5">
        <v>0.29527154772020497</v>
      </c>
      <c r="BV344" s="5">
        <v>-0.32628838701350399</v>
      </c>
      <c r="BW344" s="5">
        <v>0.32170808042100202</v>
      </c>
      <c r="BX344" s="5">
        <v>-0.34921596221923601</v>
      </c>
      <c r="BY344" s="5">
        <v>0.35518851902745002</v>
      </c>
      <c r="BZ344" s="5">
        <v>-0.35747131724180198</v>
      </c>
      <c r="CA344" s="5">
        <v>0.31766653816227503</v>
      </c>
      <c r="CB344" s="5">
        <v>-8.6582956582361495E-2</v>
      </c>
      <c r="CC344" s="5">
        <v>3.98386431238682E-2</v>
      </c>
      <c r="CD344" s="5">
        <v>-0.11914738075850401</v>
      </c>
      <c r="CE344" s="5">
        <v>9.2112531549747204E-2</v>
      </c>
      <c r="CF344" s="5">
        <v>-0.27074375892789199</v>
      </c>
      <c r="CG344" s="5">
        <v>0.22375171548810899</v>
      </c>
      <c r="CH344" s="5">
        <v>-4.9420621269128599E-2</v>
      </c>
      <c r="CI344" s="5">
        <v>1.0740364010149901E-2</v>
      </c>
      <c r="CJ344" s="5">
        <v>8.2564718838461004E-2</v>
      </c>
      <c r="CK344" s="5">
        <v>-0.12081435922927</v>
      </c>
      <c r="CL344" s="5">
        <v>0.31461657287273298</v>
      </c>
      <c r="CM344" s="5">
        <v>-0.114978373200071</v>
      </c>
      <c r="CN344" s="5">
        <v>0.33772272951549598</v>
      </c>
      <c r="CO344" s="5">
        <v>-0.14672157717302001</v>
      </c>
      <c r="CP344" s="5">
        <v>-0.411782518244597</v>
      </c>
      <c r="CQ344" s="5">
        <v>0.34279766716203502</v>
      </c>
      <c r="CR344" s="5">
        <v>-0.13603613723587701</v>
      </c>
      <c r="CS344" s="5">
        <v>9.0113337370791899E-2</v>
      </c>
      <c r="CT344" s="5">
        <v>0.1804259284974</v>
      </c>
      <c r="CU344" s="5">
        <v>4.9529569509307904E-3</v>
      </c>
      <c r="CV344" s="5">
        <v>-0.107092456113049</v>
      </c>
      <c r="CW344" s="5">
        <v>6.5057418609836201E-2</v>
      </c>
      <c r="CX344" s="5">
        <v>-0.26719897903989598</v>
      </c>
      <c r="CY344" s="5">
        <v>0.25921890514448098</v>
      </c>
      <c r="CZ344" s="5">
        <v>-0.29381514470530501</v>
      </c>
      <c r="DA344" s="5">
        <v>0.27663768967207297</v>
      </c>
      <c r="DB344" s="5">
        <v>-0.28134763801173701</v>
      </c>
      <c r="DC344" s="5">
        <v>0.20076678775789999</v>
      </c>
      <c r="DD344" s="5">
        <v>-0.30652478770000502</v>
      </c>
      <c r="DE344" s="5">
        <v>0.24611902897951399</v>
      </c>
      <c r="DF344" s="5">
        <v>-0.22177648215344201</v>
      </c>
      <c r="DG344" s="5">
        <v>0.209744641900031</v>
      </c>
      <c r="DH344" s="5">
        <v>0.232072039705915</v>
      </c>
      <c r="DI344" s="5">
        <v>-0.12503290680394999</v>
      </c>
      <c r="DJ344" s="5">
        <v>0.18820501334898601</v>
      </c>
      <c r="DK344" s="5">
        <v>-4.4970999709308098E-3</v>
      </c>
      <c r="DL344" s="5">
        <v>-0.32445742570957098</v>
      </c>
      <c r="DM344" s="5">
        <v>0.33762320487271003</v>
      </c>
      <c r="DN344" s="5">
        <v>0.23576538651419601</v>
      </c>
      <c r="DO344" s="5">
        <v>-5.5298307028844897E-2</v>
      </c>
      <c r="DP344" s="5">
        <v>-8.5827728728408298E-2</v>
      </c>
      <c r="DQ344" s="5">
        <v>9.7641716951371596E-2</v>
      </c>
      <c r="DR344" s="5">
        <v>0.37339740727856502</v>
      </c>
      <c r="DS344" s="5">
        <v>-0.221715575937249</v>
      </c>
      <c r="DT344" s="5">
        <v>-0.25745424566325498</v>
      </c>
      <c r="DU344" s="5">
        <v>0.24145633557912699</v>
      </c>
      <c r="DV344" s="5">
        <v>-0.30522164973801402</v>
      </c>
      <c r="DW344" s="5">
        <v>0.30966099275222497</v>
      </c>
      <c r="DX344" s="5">
        <v>0.35059562958229301</v>
      </c>
      <c r="DY344" s="5">
        <v>-0.15371160086850999</v>
      </c>
      <c r="DZ344" s="5">
        <v>0.29622775967495801</v>
      </c>
      <c r="EA344" s="5">
        <v>-1.9405028686997498E-2</v>
      </c>
      <c r="EB344" s="5">
        <v>-0.315107243283199</v>
      </c>
      <c r="EC344" s="5">
        <v>0.31168499515103898</v>
      </c>
      <c r="ED344" s="5">
        <v>-0.387588843308808</v>
      </c>
      <c r="EE344" s="5">
        <v>0.38216391316445703</v>
      </c>
      <c r="EF344" s="5">
        <v>-0.16093818200874499</v>
      </c>
      <c r="EG344" s="5">
        <v>0.10911654305483701</v>
      </c>
      <c r="EH344" s="5">
        <v>-0.323036482009743</v>
      </c>
      <c r="EI344" s="5">
        <v>0.30616392666491399</v>
      </c>
      <c r="EJ344" s="5">
        <v>-0.36103527347269099</v>
      </c>
      <c r="EK344" s="5">
        <v>0.345727115212348</v>
      </c>
      <c r="EL344" s="5">
        <v>-0.252124898990431</v>
      </c>
      <c r="EM344" s="5">
        <v>0.27116427989894498</v>
      </c>
      <c r="EN344" s="5">
        <v>0.163204404386291</v>
      </c>
      <c r="EO344" s="5">
        <v>-0.109740729928281</v>
      </c>
      <c r="EP344" s="5">
        <v>-0.214242424992448</v>
      </c>
      <c r="EQ344" s="5">
        <v>0.181531880888541</v>
      </c>
      <c r="ER344" s="5">
        <v>-0.15875161503224</v>
      </c>
      <c r="ES344" s="5">
        <v>0.120144971941004</v>
      </c>
      <c r="ET344" s="5">
        <v>-0.25185483109652901</v>
      </c>
      <c r="EU344" s="5">
        <v>0.26118516990222501</v>
      </c>
      <c r="EV344" s="5">
        <v>-0.250904239298192</v>
      </c>
      <c r="EW344" s="5">
        <v>0.229743175270754</v>
      </c>
      <c r="EX344" s="5">
        <v>-0.12541229513559199</v>
      </c>
      <c r="EY344" s="5">
        <v>0.18241662225181901</v>
      </c>
      <c r="EZ344" s="5">
        <v>-0.16420098379686901</v>
      </c>
      <c r="FA344" s="5">
        <v>0.16067050933135801</v>
      </c>
      <c r="FB344" s="5">
        <v>0.28693842263921099</v>
      </c>
      <c r="FC344" s="5">
        <v>-0.13115035665345101</v>
      </c>
      <c r="FD344" s="5">
        <v>-6.3295222493438899E-2</v>
      </c>
      <c r="FE344" s="5">
        <v>2.0962376817264299E-2</v>
      </c>
      <c r="FF344" s="5">
        <v>0.30109327291877003</v>
      </c>
      <c r="FG344" s="5">
        <v>-0.13217855867158099</v>
      </c>
      <c r="FH344" s="5">
        <v>-0.13236831014683001</v>
      </c>
      <c r="FI344" s="5">
        <v>6.95580030096805E-2</v>
      </c>
      <c r="FJ344" s="5">
        <v>-0.39896444072574699</v>
      </c>
      <c r="FK344" s="5">
        <v>0.36343710198874901</v>
      </c>
      <c r="FL344" s="5">
        <v>0.40272695003999098</v>
      </c>
      <c r="FM344" s="5">
        <v>-0.19751280642405999</v>
      </c>
      <c r="FN344" s="5">
        <v>-0.132164810242758</v>
      </c>
      <c r="FO344" s="5">
        <v>0.169457080843601</v>
      </c>
      <c r="FP344" s="5">
        <v>-0.166611527258826</v>
      </c>
      <c r="FQ344" s="5">
        <v>7.1897752212854493E-2</v>
      </c>
      <c r="FR344" s="5">
        <v>0.48030780860035699</v>
      </c>
      <c r="FS344" s="5">
        <v>-0.34470366175842299</v>
      </c>
      <c r="FT344" s="5">
        <v>-0.15475560543163999</v>
      </c>
      <c r="FU344" s="5">
        <v>9.8384336980862505E-2</v>
      </c>
      <c r="FV344" s="5">
        <v>0.273466101254282</v>
      </c>
      <c r="FW344" s="5">
        <v>-0.15489185663034399</v>
      </c>
      <c r="FX344" s="5">
        <v>-0.18130215004573799</v>
      </c>
      <c r="FY344" s="5">
        <v>0.13373432036368299</v>
      </c>
      <c r="FZ344" s="5">
        <v>-0.1517254185012</v>
      </c>
      <c r="GA344" s="5">
        <v>0.106530307349985</v>
      </c>
      <c r="GB344" s="5">
        <v>0.34234668755025</v>
      </c>
      <c r="GC344" s="5">
        <v>-0.20343118958541101</v>
      </c>
      <c r="GD344" s="5">
        <v>0.36416197757548202</v>
      </c>
      <c r="GE344" s="5">
        <v>-0.108093197290536</v>
      </c>
      <c r="GF344" s="5">
        <v>-0.29163100704629802</v>
      </c>
      <c r="GG344" s="5">
        <v>0.32994385424007699</v>
      </c>
      <c r="GH344" s="5">
        <v>0.80739604257773601</v>
      </c>
      <c r="GI344" s="5">
        <v>-0.64381848037661105</v>
      </c>
      <c r="GJ344" s="5">
        <v>-0.31229155948585702</v>
      </c>
      <c r="GK344" s="5">
        <v>0.35988190087514099</v>
      </c>
      <c r="GL344" s="5">
        <v>-0.19982584005241799</v>
      </c>
      <c r="GM344" s="5">
        <v>0.13699492779992101</v>
      </c>
      <c r="GN344" s="5">
        <v>0.32363447994237499</v>
      </c>
      <c r="GO344" s="5">
        <v>-0.19782409158872999</v>
      </c>
      <c r="GP344" s="5">
        <v>-0.275269520443504</v>
      </c>
      <c r="GQ344" s="5">
        <v>0.178197404304998</v>
      </c>
      <c r="GR344" s="5">
        <v>-0.24068818672471401</v>
      </c>
      <c r="GS344" s="5">
        <v>0.30614783316205402</v>
      </c>
      <c r="GT344" s="5">
        <v>9.5426039618018793E-2</v>
      </c>
      <c r="GU344" s="5">
        <v>-9.1477593241105201E-2</v>
      </c>
      <c r="GV344" s="5">
        <v>-0.23394351381001199</v>
      </c>
      <c r="GW344" s="5">
        <v>0.26831563917392198</v>
      </c>
      <c r="GX344" s="5">
        <v>-0.29036733903349599</v>
      </c>
      <c r="GY344" s="5">
        <v>0.24891066817323201</v>
      </c>
      <c r="GZ344" s="5">
        <v>0.30348362366364601</v>
      </c>
      <c r="HA344" s="5">
        <v>-0.13753722044528699</v>
      </c>
      <c r="HB344" s="5">
        <v>-0.24000424252285499</v>
      </c>
      <c r="HC344" s="5">
        <v>0.24504562329114499</v>
      </c>
      <c r="HD344" s="5">
        <v>0.30583714191650302</v>
      </c>
      <c r="HE344" s="5">
        <v>-0.18525978408691099</v>
      </c>
      <c r="HF344" s="5">
        <v>0.23944879934641899</v>
      </c>
      <c r="HG344" s="5">
        <v>-4.7596256392453198E-2</v>
      </c>
      <c r="HH344" s="5">
        <v>0.367188381825578</v>
      </c>
      <c r="HI344" s="5">
        <v>-0.18659017471877001</v>
      </c>
      <c r="HJ344" s="5">
        <v>0.19766208845000899</v>
      </c>
      <c r="HK344" s="5">
        <v>-1.0835775298847499E-2</v>
      </c>
      <c r="HL344" s="5">
        <v>-0.10228224853041</v>
      </c>
      <c r="HM344" s="5">
        <v>0.17463383105359301</v>
      </c>
      <c r="HN344" s="5">
        <v>0.30031451998723102</v>
      </c>
      <c r="HO344" s="5">
        <v>-0.121692736605758</v>
      </c>
      <c r="HP344" s="5">
        <v>-0.18157017004089099</v>
      </c>
      <c r="HQ344" s="5">
        <v>0.23294634451056401</v>
      </c>
      <c r="HR344" s="5">
        <v>-0.24351201795167501</v>
      </c>
      <c r="HS344" s="5">
        <v>0.29054040779509299</v>
      </c>
      <c r="HT344" s="5">
        <v>0.31742857292289101</v>
      </c>
      <c r="HU344" s="5">
        <v>-0.147914004443188</v>
      </c>
      <c r="HV344" s="5">
        <v>-0.26074906967919598</v>
      </c>
      <c r="HW344" s="5">
        <v>0.22742119940601399</v>
      </c>
      <c r="HX344" s="5">
        <v>-0.30036695460090501</v>
      </c>
      <c r="HY344" s="5">
        <v>0.3540199701226</v>
      </c>
      <c r="HZ344" s="5">
        <v>0.30578508970104301</v>
      </c>
      <c r="IA344" s="5">
        <v>-0.10505152960606</v>
      </c>
      <c r="IB344" s="5">
        <v>0.33791282552809798</v>
      </c>
      <c r="IC344" s="5">
        <v>-0.151735742964932</v>
      </c>
      <c r="ID344" s="5">
        <v>-0.23228034952927101</v>
      </c>
      <c r="IE344" s="5">
        <v>0.20751936884682901</v>
      </c>
      <c r="IF344" s="5">
        <v>-0.23743777572142499</v>
      </c>
      <c r="IG344" s="5">
        <v>0.21853463986095201</v>
      </c>
      <c r="IH344" s="5">
        <v>-0.20260603227298499</v>
      </c>
      <c r="II344" s="5">
        <v>0.147575083378264</v>
      </c>
      <c r="IJ344" s="5">
        <v>-4.8423347602782503E-2</v>
      </c>
      <c r="IK344" s="5">
        <v>7.3970715832969602E-2</v>
      </c>
      <c r="IL344" s="5">
        <v>-0.23414779336408201</v>
      </c>
      <c r="IM344" s="5">
        <v>0.23260156517092001</v>
      </c>
      <c r="IN344" s="5">
        <v>-0.165761939526678</v>
      </c>
      <c r="IO344" s="5">
        <v>0.13043816632415001</v>
      </c>
      <c r="IP344" s="5">
        <v>-0.20160663987278499</v>
      </c>
      <c r="IQ344" s="5">
        <v>0.20151765954057499</v>
      </c>
      <c r="IR344" s="5">
        <v>-6.5886392417749004E-2</v>
      </c>
      <c r="IS344" s="5">
        <v>4.1621601309385699E-2</v>
      </c>
      <c r="IT344" s="5">
        <v>-0.235716876052074</v>
      </c>
      <c r="IU344" s="5">
        <v>0.18646510946081299</v>
      </c>
      <c r="IV344" s="5">
        <v>-0.242082060954383</v>
      </c>
      <c r="IW344" s="5">
        <v>0.25582290558160498</v>
      </c>
      <c r="IX344" s="5">
        <v>-0.172038491580673</v>
      </c>
      <c r="IY344" s="5">
        <v>0.16843013468087301</v>
      </c>
      <c r="IZ344" s="5">
        <v>0.29464555398294101</v>
      </c>
      <c r="JA344" s="5">
        <v>-0.111906160903343</v>
      </c>
      <c r="JB344" s="5">
        <v>0.23954508732739399</v>
      </c>
      <c r="JC344" s="5">
        <v>-5.1766965255424402E-2</v>
      </c>
      <c r="JD344" s="5">
        <v>0.21760763144124201</v>
      </c>
      <c r="JE344" s="5">
        <v>-0.11851492681416501</v>
      </c>
      <c r="JF344" s="5">
        <v>-0.14819427836659099</v>
      </c>
      <c r="JG344" s="5">
        <v>0.14670977998233101</v>
      </c>
      <c r="JH344" s="5">
        <v>0.19291832689761301</v>
      </c>
      <c r="JI344" s="5">
        <v>7.8339761935512703E-2</v>
      </c>
      <c r="JJ344" s="5">
        <v>-0.41029730228035699</v>
      </c>
      <c r="JK344" s="5">
        <v>0.39166035926323101</v>
      </c>
      <c r="JL344" s="5">
        <v>-0.31247562374344101</v>
      </c>
      <c r="JM344" s="5">
        <v>0.31418894755558702</v>
      </c>
      <c r="JN344" s="5">
        <v>-0.331437636569265</v>
      </c>
      <c r="JO344" s="5">
        <v>0.27292699165162598</v>
      </c>
      <c r="JP344" s="5">
        <v>-0.23477851678001499</v>
      </c>
      <c r="JQ344" s="5">
        <v>0.237833008668655</v>
      </c>
      <c r="JR344" s="5">
        <v>-5.1867614360905298E-2</v>
      </c>
      <c r="JS344" s="5">
        <v>5.0991439073863297E-3</v>
      </c>
      <c r="JT344" s="5">
        <v>6.0111480596137301E-2</v>
      </c>
      <c r="JU344" s="5">
        <v>-7.2782270417568504E-2</v>
      </c>
      <c r="JV344" s="5">
        <v>-0.24655639792658701</v>
      </c>
      <c r="JW344" s="5">
        <v>0.27233167855933399</v>
      </c>
      <c r="JX344" s="5">
        <v>0.28264531215726202</v>
      </c>
      <c r="JY344" s="5">
        <v>-9.4998459585896006E-2</v>
      </c>
      <c r="JZ344" s="5">
        <v>-0.134764277030751</v>
      </c>
      <c r="KA344" s="5">
        <v>6.6278890039431104E-2</v>
      </c>
      <c r="KB344" s="5">
        <v>0.216244537582579</v>
      </c>
      <c r="KC344" s="5">
        <v>2.3856169716783102E-2</v>
      </c>
      <c r="KD344" s="5">
        <v>8.9164051488147503E-2</v>
      </c>
      <c r="KE344" s="5">
        <v>-4.2211647182056897E-3</v>
      </c>
      <c r="KF344" s="5">
        <v>-0.21899453325318399</v>
      </c>
      <c r="KG344" s="5">
        <v>0.143699407549984</v>
      </c>
      <c r="KH344" s="5">
        <v>-0.120656290665464</v>
      </c>
      <c r="KI344" s="5">
        <v>7.3751845222631396E-2</v>
      </c>
      <c r="KJ344" s="5">
        <v>-0.34049387396094799</v>
      </c>
      <c r="KK344" s="5">
        <v>0.27746586625651798</v>
      </c>
      <c r="KL344" s="5">
        <v>0.12257141666299</v>
      </c>
      <c r="KM344" s="5">
        <v>-2.5256551226092799E-2</v>
      </c>
      <c r="KN344" s="5">
        <v>0.328193672581439</v>
      </c>
      <c r="KO344" s="5">
        <v>-0.13669012230834601</v>
      </c>
      <c r="KP344" s="5">
        <v>0.36199345636471397</v>
      </c>
      <c r="KQ344" s="5">
        <v>-0.13990627596851299</v>
      </c>
      <c r="KR344" s="5">
        <v>-0.24813240902984099</v>
      </c>
      <c r="KS344" s="5">
        <v>0.31315852500820701</v>
      </c>
      <c r="KT344" s="5">
        <v>-0.38084515003720099</v>
      </c>
      <c r="KU344" s="5">
        <v>0.35711878834415201</v>
      </c>
      <c r="KV344" s="5">
        <v>-0.262266501127846</v>
      </c>
      <c r="KW344" s="5">
        <v>0.20081873405741699</v>
      </c>
      <c r="KX344" s="5">
        <v>-0.33037932460046199</v>
      </c>
      <c r="KY344" s="5">
        <v>0.30845944543563297</v>
      </c>
      <c r="KZ344" s="5">
        <v>-0.262008985778514</v>
      </c>
      <c r="LA344" s="5">
        <v>0.26066568421487502</v>
      </c>
      <c r="LB344" s="5">
        <v>-0.29347587605589598</v>
      </c>
      <c r="LC344" s="5">
        <v>0.30982839200364698</v>
      </c>
      <c r="LD344" s="5">
        <v>-0.209409477137349</v>
      </c>
      <c r="LE344" s="5">
        <v>0.17988932895528101</v>
      </c>
      <c r="LF344" s="5">
        <v>0.35442622922828998</v>
      </c>
      <c r="LG344" s="5">
        <v>-0.22134009215383799</v>
      </c>
      <c r="LH344" s="5">
        <v>-0.35628667485823701</v>
      </c>
      <c r="LI344" s="5">
        <v>0.358467188421348</v>
      </c>
      <c r="LJ344" s="5">
        <v>0.29233224392291302</v>
      </c>
      <c r="LK344" s="5">
        <v>-0.127145734061929</v>
      </c>
      <c r="LL344" s="5">
        <v>-0.27275786307370098</v>
      </c>
      <c r="LM344" s="5">
        <v>0.28142442919117999</v>
      </c>
      <c r="LN344" s="5">
        <v>-0.11359550158175701</v>
      </c>
      <c r="LO344" s="5">
        <v>0.14845016061602501</v>
      </c>
      <c r="LP344" s="5">
        <v>-0.17109894693344099</v>
      </c>
      <c r="LQ344" s="5">
        <v>0.19404018752794899</v>
      </c>
      <c r="LR344" s="5">
        <v>0.30438690370788102</v>
      </c>
      <c r="LS344" s="5">
        <v>-0.111341349803133</v>
      </c>
      <c r="LT344" s="5">
        <v>0.31208849131981198</v>
      </c>
      <c r="LU344" s="5">
        <v>-0.118729609972688</v>
      </c>
      <c r="LV344" s="5">
        <v>0.16328061180883599</v>
      </c>
      <c r="LW344" s="5">
        <v>-5.7972877025388699E-3</v>
      </c>
      <c r="LX344" s="5">
        <v>-8.8925794229220895E-2</v>
      </c>
      <c r="LY344" s="5">
        <v>3.5133560426860298E-2</v>
      </c>
      <c r="LZ344" s="5">
        <v>-0.25734433685476099</v>
      </c>
      <c r="MA344" s="5">
        <v>0.235596628728971</v>
      </c>
      <c r="MB344" s="5">
        <v>-0.32618355706399799</v>
      </c>
      <c r="MC344" s="5">
        <v>0.33825731993334501</v>
      </c>
      <c r="MD344" s="5">
        <v>-0.25819649862397498</v>
      </c>
      <c r="ME344" s="5">
        <v>0.30312652934131901</v>
      </c>
      <c r="MF344" s="5">
        <v>1</v>
      </c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</row>
    <row r="345" spans="1:389" x14ac:dyDescent="0.45">
      <c r="A345" s="4" t="str">
        <f ca="1">"TJK / beta2dist in "&amp;CELL("address",'damages-1990'!$K$173)</f>
        <v>TJK / beta2dist in '[BHM betas v3pd.xlsx]damages-1990'!$K$173</v>
      </c>
      <c r="B345" s="6">
        <v>5.9006345324850801E-2</v>
      </c>
      <c r="C345" s="5">
        <v>-0.149974158036976</v>
      </c>
      <c r="D345" s="5">
        <v>0.35206611093316198</v>
      </c>
      <c r="E345" s="5">
        <v>-0.51932076391043003</v>
      </c>
      <c r="F345" s="5">
        <v>2.03703696817128E-2</v>
      </c>
      <c r="G345" s="5">
        <v>-5.49836860496003E-2</v>
      </c>
      <c r="H345" s="5">
        <v>-0.18681734687670101</v>
      </c>
      <c r="I345" s="5">
        <v>0.241888197580931</v>
      </c>
      <c r="J345" s="5">
        <v>0.37954565488423198</v>
      </c>
      <c r="K345" s="5">
        <v>-0.48487278772845499</v>
      </c>
      <c r="L345" s="5">
        <v>0.21273881912050299</v>
      </c>
      <c r="M345" s="5">
        <v>-0.33936368915084503</v>
      </c>
      <c r="N345" s="5">
        <v>-0.13382485565586499</v>
      </c>
      <c r="O345" s="5">
        <v>0.123207024771306</v>
      </c>
      <c r="P345" s="5">
        <v>0.240859194019545</v>
      </c>
      <c r="Q345" s="5">
        <v>-0.26933387035145001</v>
      </c>
      <c r="R345" s="5">
        <v>0.15379658904065499</v>
      </c>
      <c r="S345" s="5">
        <v>-0.269334967632478</v>
      </c>
      <c r="T345" s="5">
        <v>3.3650478105983601E-2</v>
      </c>
      <c r="U345" s="5">
        <v>-8.0572177883016294E-2</v>
      </c>
      <c r="V345" s="5">
        <v>-7.2469849875280101E-2</v>
      </c>
      <c r="W345" s="5">
        <v>0.131527706219595</v>
      </c>
      <c r="X345" s="5">
        <v>0.32250521293611001</v>
      </c>
      <c r="Y345" s="5">
        <v>-0.456885567808611</v>
      </c>
      <c r="Z345" s="5">
        <v>-9.4394359909326896E-3</v>
      </c>
      <c r="AA345" s="5">
        <v>-4.6158354202369002E-2</v>
      </c>
      <c r="AB345" s="5">
        <v>0.33262304267151199</v>
      </c>
      <c r="AC345" s="5">
        <v>-0.48899399972865898</v>
      </c>
      <c r="AD345" s="5">
        <v>0.29153339257621502</v>
      </c>
      <c r="AE345" s="5">
        <v>-0.39592450792021799</v>
      </c>
      <c r="AF345" s="5">
        <v>0.154198625392101</v>
      </c>
      <c r="AG345" s="5">
        <v>-0.26364460458153099</v>
      </c>
      <c r="AH345" s="5">
        <v>3.8315714232140301E-2</v>
      </c>
      <c r="AI345" s="5">
        <v>-7.83473739665142E-2</v>
      </c>
      <c r="AJ345" s="5">
        <v>0.31401009723944001</v>
      </c>
      <c r="AK345" s="5">
        <v>-0.40288876747145802</v>
      </c>
      <c r="AL345" s="5">
        <v>-8.2821836087281595E-2</v>
      </c>
      <c r="AM345" s="5">
        <v>8.5928903803898796E-2</v>
      </c>
      <c r="AN345" s="5">
        <v>7.01519888767725E-2</v>
      </c>
      <c r="AO345" s="5">
        <v>-0.121836905973371</v>
      </c>
      <c r="AP345" s="5">
        <v>0.15378449176667999</v>
      </c>
      <c r="AQ345" s="5">
        <v>-0.24196937109125799</v>
      </c>
      <c r="AR345" s="5">
        <v>6.5082716216119801E-2</v>
      </c>
      <c r="AS345" s="5">
        <v>-0.135663796949274</v>
      </c>
      <c r="AT345" s="5">
        <v>-4.5577451341900797E-2</v>
      </c>
      <c r="AU345" s="5">
        <v>1.5315716461395501E-3</v>
      </c>
      <c r="AV345" s="5">
        <v>0.12819804955484099</v>
      </c>
      <c r="AW345" s="5">
        <v>-0.233378607202746</v>
      </c>
      <c r="AX345" s="5">
        <v>0.16251786262413501</v>
      </c>
      <c r="AY345" s="5">
        <v>-0.28372757723263797</v>
      </c>
      <c r="AZ345" s="5">
        <v>0.28983363184462602</v>
      </c>
      <c r="BA345" s="5">
        <v>-0.34218873066858102</v>
      </c>
      <c r="BB345" s="5">
        <v>0.18382980789313</v>
      </c>
      <c r="BC345" s="5">
        <v>-0.31351270137005799</v>
      </c>
      <c r="BD345" s="5">
        <v>-8.9924035048346996E-3</v>
      </c>
      <c r="BE345" s="5">
        <v>-2.5043820870379801E-2</v>
      </c>
      <c r="BF345" s="5">
        <v>0.235518110694974</v>
      </c>
      <c r="BG345" s="5">
        <v>-0.36077168139231203</v>
      </c>
      <c r="BH345" s="5">
        <v>0.336373197323522</v>
      </c>
      <c r="BI345" s="5">
        <v>-0.508550484976658</v>
      </c>
      <c r="BJ345" s="5">
        <v>-1.3425699324307899E-2</v>
      </c>
      <c r="BK345" s="5">
        <v>4.2253443554043701E-2</v>
      </c>
      <c r="BL345" s="5">
        <v>-2.3207091227219898E-2</v>
      </c>
      <c r="BM345" s="5">
        <v>9.7083450737315904E-3</v>
      </c>
      <c r="BN345" s="5">
        <v>-0.29060772611330199</v>
      </c>
      <c r="BO345" s="5">
        <v>0.40518836254349799</v>
      </c>
      <c r="BP345" s="5">
        <v>-0.182836256745184</v>
      </c>
      <c r="BQ345" s="5">
        <v>0.291886122463271</v>
      </c>
      <c r="BR345" s="5">
        <v>0.30698871202158801</v>
      </c>
      <c r="BS345" s="5">
        <v>-0.45424407328909899</v>
      </c>
      <c r="BT345" s="5">
        <v>0.230778315016302</v>
      </c>
      <c r="BU345" s="5">
        <v>-0.43162874612222601</v>
      </c>
      <c r="BV345" s="5">
        <v>0.33090983236597399</v>
      </c>
      <c r="BW345" s="5">
        <v>-0.48960302459344801</v>
      </c>
      <c r="BX345" s="5">
        <v>0.36350727820742201</v>
      </c>
      <c r="BY345" s="5">
        <v>-0.52474479954978004</v>
      </c>
      <c r="BZ345" s="5">
        <v>0.35776484227213401</v>
      </c>
      <c r="CA345" s="5">
        <v>-0.47604908216348002</v>
      </c>
      <c r="CB345" s="5">
        <v>5.1483706630744202E-3</v>
      </c>
      <c r="CC345" s="5">
        <v>-5.13586812728236E-2</v>
      </c>
      <c r="CD345" s="5">
        <v>0.161452354553455</v>
      </c>
      <c r="CE345" s="5">
        <v>-0.19381455392859001</v>
      </c>
      <c r="CF345" s="5">
        <v>0.253884416102509</v>
      </c>
      <c r="CG345" s="5">
        <v>-0.30788174963923898</v>
      </c>
      <c r="CH345" s="5">
        <v>-0.14847244278094299</v>
      </c>
      <c r="CI345" s="5">
        <v>0.13263705309127</v>
      </c>
      <c r="CJ345" s="5">
        <v>-6.8315816074326505E-2</v>
      </c>
      <c r="CK345" s="5">
        <v>8.1013811354091303E-2</v>
      </c>
      <c r="CL345" s="5">
        <v>1.5445676029026099E-2</v>
      </c>
      <c r="CM345" s="5">
        <v>-7.8475652409154203E-2</v>
      </c>
      <c r="CN345" s="5">
        <v>5.9629911344783902E-3</v>
      </c>
      <c r="CO345" s="5">
        <v>-6.1156739664918199E-2</v>
      </c>
      <c r="CP345" s="5">
        <v>0.485435259120025</v>
      </c>
      <c r="CQ345" s="5">
        <v>-0.512864154431529</v>
      </c>
      <c r="CR345" s="5">
        <v>0.17486787234933601</v>
      </c>
      <c r="CS345" s="5">
        <v>-0.20719200356186901</v>
      </c>
      <c r="CT345" s="5">
        <v>0.121327782056879</v>
      </c>
      <c r="CU345" s="5">
        <v>-0.19036270192943</v>
      </c>
      <c r="CV345" s="5">
        <v>7.3321445354345094E-2</v>
      </c>
      <c r="CW345" s="5">
        <v>-0.114970572928953</v>
      </c>
      <c r="CX345" s="5">
        <v>0.300359721722114</v>
      </c>
      <c r="CY345" s="5">
        <v>-0.42543965350019303</v>
      </c>
      <c r="CZ345" s="5">
        <v>0.31517134759382298</v>
      </c>
      <c r="DA345" s="5">
        <v>-0.41713445081876499</v>
      </c>
      <c r="DB345" s="5">
        <v>0.25909605319665802</v>
      </c>
      <c r="DC345" s="5">
        <v>-0.30683702967835902</v>
      </c>
      <c r="DD345" s="5">
        <v>0.36326470121989202</v>
      </c>
      <c r="DE345" s="5">
        <v>-0.413064377048737</v>
      </c>
      <c r="DF345" s="5">
        <v>0.23224322130271399</v>
      </c>
      <c r="DG345" s="5">
        <v>-0.32688255272089001</v>
      </c>
      <c r="DH345" s="5">
        <v>4.1470875153140997E-2</v>
      </c>
      <c r="DI345" s="5">
        <v>-0.117453334929459</v>
      </c>
      <c r="DJ345" s="5">
        <v>0.14961374262791299</v>
      </c>
      <c r="DK345" s="5">
        <v>-0.215974757083436</v>
      </c>
      <c r="DL345" s="5">
        <v>0.36989403699981499</v>
      </c>
      <c r="DM345" s="5">
        <v>-0.50817725867438301</v>
      </c>
      <c r="DN345" s="5">
        <v>8.3524783143049494E-2</v>
      </c>
      <c r="DO345" s="5">
        <v>-0.13317400095763299</v>
      </c>
      <c r="DP345" s="5">
        <v>6.9834946426940506E-2</v>
      </c>
      <c r="DQ345" s="5">
        <v>-0.14636450842931001</v>
      </c>
      <c r="DR345" s="5">
        <v>-2.9561307134309701E-2</v>
      </c>
      <c r="DS345" s="5">
        <v>-1.5113916901229501E-2</v>
      </c>
      <c r="DT345" s="5">
        <v>0.29302852046522398</v>
      </c>
      <c r="DU345" s="5">
        <v>-0.34484769049247099</v>
      </c>
      <c r="DV345" s="5">
        <v>0.33892459877235698</v>
      </c>
      <c r="DW345" s="5">
        <v>-0.47700068793712003</v>
      </c>
      <c r="DX345" s="5">
        <v>-1.9926378162418702E-2</v>
      </c>
      <c r="DY345" s="5">
        <v>-4.3121193960289503E-2</v>
      </c>
      <c r="DZ345" s="5">
        <v>1.2553402710471E-2</v>
      </c>
      <c r="EA345" s="5">
        <v>-9.4993018901155205E-2</v>
      </c>
      <c r="EB345" s="5">
        <v>0.33319241626622098</v>
      </c>
      <c r="EC345" s="5">
        <v>-0.46734736397180299</v>
      </c>
      <c r="ED345" s="5">
        <v>0.417936136612445</v>
      </c>
      <c r="EE345" s="5">
        <v>-0.54668135258699602</v>
      </c>
      <c r="EF345" s="5">
        <v>0.20544053666485701</v>
      </c>
      <c r="EG345" s="5">
        <v>-0.23190923591750001</v>
      </c>
      <c r="EH345" s="5">
        <v>0.33060810980300098</v>
      </c>
      <c r="EI345" s="5">
        <v>-0.46373732058615602</v>
      </c>
      <c r="EJ345" s="5">
        <v>0.396488384787269</v>
      </c>
      <c r="EK345" s="5">
        <v>-0.52644099609673101</v>
      </c>
      <c r="EL345" s="5">
        <v>0.21101896036057199</v>
      </c>
      <c r="EM345" s="5">
        <v>-0.36446590849565702</v>
      </c>
      <c r="EN345" s="5">
        <v>-1.0208107873399101E-2</v>
      </c>
      <c r="EO345" s="5">
        <v>1.7965034562170398E-2</v>
      </c>
      <c r="EP345" s="5">
        <v>0.23306435260889499</v>
      </c>
      <c r="EQ345" s="5">
        <v>-0.29552460215804699</v>
      </c>
      <c r="ER345" s="5">
        <v>0.110002530860121</v>
      </c>
      <c r="ES345" s="5">
        <v>-0.181654095544005</v>
      </c>
      <c r="ET345" s="5">
        <v>0.177502869221979</v>
      </c>
      <c r="EU345" s="5">
        <v>-0.33685020455824299</v>
      </c>
      <c r="EV345" s="5">
        <v>0.20436198511557499</v>
      </c>
      <c r="EW345" s="5">
        <v>-0.34629166789538302</v>
      </c>
      <c r="EX345" s="5">
        <v>3.0991671370641401E-2</v>
      </c>
      <c r="EY345" s="5">
        <v>-0.196781447979304</v>
      </c>
      <c r="EZ345" s="5">
        <v>0.110791266974325</v>
      </c>
      <c r="FA345" s="5">
        <v>-0.23987393649413499</v>
      </c>
      <c r="FB345" s="5">
        <v>5.5368755682695101E-2</v>
      </c>
      <c r="FC345" s="5">
        <v>-0.110194812913052</v>
      </c>
      <c r="FD345" s="5">
        <v>-3.1494156572059499E-2</v>
      </c>
      <c r="FE345" s="5">
        <v>-1.53458611005766E-2</v>
      </c>
      <c r="FF345" s="5">
        <v>5.3564260223484497E-2</v>
      </c>
      <c r="FG345" s="5">
        <v>-0.108452097313089</v>
      </c>
      <c r="FH345" s="5">
        <v>-1.37708497429406E-2</v>
      </c>
      <c r="FI345" s="5">
        <v>-2.7267282059554501E-2</v>
      </c>
      <c r="FJ345" s="5">
        <v>0.44965201783498499</v>
      </c>
      <c r="FK345" s="5">
        <v>-0.55876832579723501</v>
      </c>
      <c r="FL345" s="5">
        <v>-0.108563925996487</v>
      </c>
      <c r="FM345" s="5">
        <v>6.4391820044671103E-2</v>
      </c>
      <c r="FN345" s="5">
        <v>0.29239026070091301</v>
      </c>
      <c r="FO345" s="5">
        <v>-0.37727758017958501</v>
      </c>
      <c r="FP345" s="5">
        <v>0.15663345133037401</v>
      </c>
      <c r="FQ345" s="5">
        <v>-0.15994301726503601</v>
      </c>
      <c r="FR345" s="5">
        <v>-0.41677381492874399</v>
      </c>
      <c r="FS345" s="5">
        <v>0.42770876678066699</v>
      </c>
      <c r="FT345" s="5">
        <v>0.19139481957511401</v>
      </c>
      <c r="FU345" s="5">
        <v>-0.22122690261161801</v>
      </c>
      <c r="FV345" s="5">
        <v>3.6207407518929403E-2</v>
      </c>
      <c r="FW345" s="5">
        <v>-0.10966163436115101</v>
      </c>
      <c r="FX345" s="5">
        <v>8.4046148944005195E-2</v>
      </c>
      <c r="FY345" s="5">
        <v>-0.127125482852642</v>
      </c>
      <c r="FZ345" s="5">
        <v>0.202481260928738</v>
      </c>
      <c r="GA345" s="5">
        <v>-0.24642244060460899</v>
      </c>
      <c r="GB345" s="5">
        <v>3.7296261353863401E-2</v>
      </c>
      <c r="GC345" s="5">
        <v>-0.101099561486083</v>
      </c>
      <c r="GD345" s="5">
        <v>-6.1950115653487098E-2</v>
      </c>
      <c r="GE345" s="5">
        <v>-4.0475086727406802E-2</v>
      </c>
      <c r="GF345" s="5">
        <v>0.286039581537126</v>
      </c>
      <c r="GG345" s="5">
        <v>-0.48154961257425499</v>
      </c>
      <c r="GH345" s="5">
        <v>-0.685819206938582</v>
      </c>
      <c r="GI345" s="5">
        <v>0.79318745501341004</v>
      </c>
      <c r="GJ345" s="5">
        <v>0.21601224820374401</v>
      </c>
      <c r="GK345" s="5">
        <v>-0.40891090075252901</v>
      </c>
      <c r="GL345" s="5">
        <v>0.241715387293444</v>
      </c>
      <c r="GM345" s="5">
        <v>-0.26030415030368798</v>
      </c>
      <c r="GN345" s="5">
        <v>4.7295582178220497E-2</v>
      </c>
      <c r="GO345" s="5">
        <v>-0.132794128526012</v>
      </c>
      <c r="GP345" s="5">
        <v>0.24999057453913201</v>
      </c>
      <c r="GQ345" s="5">
        <v>-0.29513513871695202</v>
      </c>
      <c r="GR345" s="5">
        <v>0.184428270554677</v>
      </c>
      <c r="GS345" s="5">
        <v>-0.37268386766202299</v>
      </c>
      <c r="GT345" s="5">
        <v>5.7241199557589599E-2</v>
      </c>
      <c r="GU345" s="5">
        <v>-2.4830543309886599E-2</v>
      </c>
      <c r="GV345" s="5">
        <v>0.228295594519104</v>
      </c>
      <c r="GW345" s="5">
        <v>-0.37794391642066399</v>
      </c>
      <c r="GX345" s="5">
        <v>0.27451945267204297</v>
      </c>
      <c r="GY345" s="5">
        <v>-0.34292230403292501</v>
      </c>
      <c r="GZ345" s="5">
        <v>-7.8690673197045601E-3</v>
      </c>
      <c r="HA345" s="5">
        <v>-9.8857853542768798E-3</v>
      </c>
      <c r="HB345" s="5">
        <v>0.17134634624137501</v>
      </c>
      <c r="HC345" s="5">
        <v>-0.32304661295624898</v>
      </c>
      <c r="HD345" s="5">
        <v>-2.5793994033381998E-4</v>
      </c>
      <c r="HE345" s="5">
        <v>-2.0874939188135901E-2</v>
      </c>
      <c r="HF345" s="5">
        <v>0.119272685032227</v>
      </c>
      <c r="HG345" s="5">
        <v>-0.19342160199366401</v>
      </c>
      <c r="HH345" s="5">
        <v>-2.8321857749547801E-2</v>
      </c>
      <c r="HI345" s="5">
        <v>-1.6573992833973799E-2</v>
      </c>
      <c r="HJ345" s="5">
        <v>0.148406583044429</v>
      </c>
      <c r="HK345" s="5">
        <v>-0.21874376270197601</v>
      </c>
      <c r="HL345" s="5">
        <v>0.233108533803142</v>
      </c>
      <c r="HM345" s="5">
        <v>-0.364410994461983</v>
      </c>
      <c r="HN345" s="5">
        <v>8.3226219586094899E-2</v>
      </c>
      <c r="HO345" s="5">
        <v>-0.15000277722594099</v>
      </c>
      <c r="HP345" s="5">
        <v>0.14233895117165599</v>
      </c>
      <c r="HQ345" s="5">
        <v>-0.32977414164848801</v>
      </c>
      <c r="HR345" s="5">
        <v>0.21754787698229</v>
      </c>
      <c r="HS345" s="5">
        <v>-0.360998222451416</v>
      </c>
      <c r="HT345" s="5">
        <v>3.0037227482657799E-2</v>
      </c>
      <c r="HU345" s="5">
        <v>-7.4658515877128906E-2</v>
      </c>
      <c r="HV345" s="5">
        <v>0.26290753520645899</v>
      </c>
      <c r="HW345" s="5">
        <v>-0.38054522826486797</v>
      </c>
      <c r="HX345" s="5">
        <v>0.27182875725456601</v>
      </c>
      <c r="HY345" s="5">
        <v>-0.47320253775947102</v>
      </c>
      <c r="HZ345" s="5">
        <v>4.4114366575045701E-2</v>
      </c>
      <c r="IA345" s="5">
        <v>-9.1411830331663904E-2</v>
      </c>
      <c r="IB345" s="5">
        <v>-0.123189856301702</v>
      </c>
      <c r="IC345" s="5">
        <v>8.8806563549487502E-2</v>
      </c>
      <c r="ID345" s="5">
        <v>0.20200818162173301</v>
      </c>
      <c r="IE345" s="5">
        <v>-0.35223771176763902</v>
      </c>
      <c r="IF345" s="5">
        <v>0.22917076738489001</v>
      </c>
      <c r="IG345" s="5">
        <v>-0.36924694496378802</v>
      </c>
      <c r="IH345" s="5">
        <v>0.23234224419395999</v>
      </c>
      <c r="II345" s="5">
        <v>-0.27315357453398498</v>
      </c>
      <c r="IJ345" s="5">
        <v>1.0182854743215401E-2</v>
      </c>
      <c r="IK345" s="5">
        <v>-7.62963593425664E-2</v>
      </c>
      <c r="IL345" s="5">
        <v>0.21435513634103201</v>
      </c>
      <c r="IM345" s="5">
        <v>-0.37220635293413801</v>
      </c>
      <c r="IN345" s="5">
        <v>7.4651736579597602E-2</v>
      </c>
      <c r="IO345" s="5">
        <v>-0.185320936070067</v>
      </c>
      <c r="IP345" s="5">
        <v>0.246882962047972</v>
      </c>
      <c r="IQ345" s="5">
        <v>-0.36784064756330498</v>
      </c>
      <c r="IR345" s="5">
        <v>1.36912081733214E-2</v>
      </c>
      <c r="IS345" s="5">
        <v>-3.9294904332319497E-2</v>
      </c>
      <c r="IT345" s="5">
        <v>0.22008390031825101</v>
      </c>
      <c r="IU345" s="5">
        <v>-0.31397452015557897</v>
      </c>
      <c r="IV345" s="5">
        <v>0.27091919361714301</v>
      </c>
      <c r="IW345" s="5">
        <v>-0.42303441517432</v>
      </c>
      <c r="IX345" s="5">
        <v>0.12178172529053299</v>
      </c>
      <c r="IY345" s="5">
        <v>-0.25568827115043602</v>
      </c>
      <c r="IZ345" s="5">
        <v>1.6449329046651699E-2</v>
      </c>
      <c r="JA345" s="5">
        <v>-7.0214440651923601E-2</v>
      </c>
      <c r="JB345" s="5">
        <v>7.7466340582923093E-2</v>
      </c>
      <c r="JC345" s="5">
        <v>-0.14002976322955299</v>
      </c>
      <c r="JD345" s="5">
        <v>9.5927555036910903E-2</v>
      </c>
      <c r="JE345" s="5">
        <v>-0.189903117607959</v>
      </c>
      <c r="JF345" s="5">
        <v>0.10135000615366099</v>
      </c>
      <c r="JG345" s="5">
        <v>-0.18957143185383299</v>
      </c>
      <c r="JH345" s="5">
        <v>0.137151504080539</v>
      </c>
      <c r="JI345" s="5">
        <v>-0.258343280606046</v>
      </c>
      <c r="JJ345" s="5">
        <v>0.43447140036367499</v>
      </c>
      <c r="JK345" s="5">
        <v>-0.58452962712567103</v>
      </c>
      <c r="JL345" s="5">
        <v>0.43772548069971201</v>
      </c>
      <c r="JM345" s="5">
        <v>-0.55019828884989097</v>
      </c>
      <c r="JN345" s="5">
        <v>0.32917977592193998</v>
      </c>
      <c r="JO345" s="5">
        <v>-0.38277927126252198</v>
      </c>
      <c r="JP345" s="5">
        <v>0.25736529482368198</v>
      </c>
      <c r="JQ345" s="5">
        <v>-0.39890859801177603</v>
      </c>
      <c r="JR345" s="5">
        <v>-8.46250218925063E-2</v>
      </c>
      <c r="JS345" s="5">
        <v>-4.7606890977595203E-3</v>
      </c>
      <c r="JT345" s="5">
        <v>-0.17135772747790601</v>
      </c>
      <c r="JU345" s="5">
        <v>8.6338013718417497E-2</v>
      </c>
      <c r="JV345" s="5">
        <v>0.14740255681067099</v>
      </c>
      <c r="JW345" s="5">
        <v>-0.31369524769681401</v>
      </c>
      <c r="JX345" s="5">
        <v>7.8686706949912699E-2</v>
      </c>
      <c r="JY345" s="5">
        <v>-0.14179625036795601</v>
      </c>
      <c r="JZ345" s="5">
        <v>0.15312516898344</v>
      </c>
      <c r="KA345" s="5">
        <v>-0.156056421055906</v>
      </c>
      <c r="KB345" s="5">
        <v>0.177107361390972</v>
      </c>
      <c r="KC345" s="5">
        <v>-0.26525713832057801</v>
      </c>
      <c r="KD345" s="5">
        <v>9.3377661560064995E-2</v>
      </c>
      <c r="KE345" s="5">
        <v>-0.16175683313879499</v>
      </c>
      <c r="KF345" s="5">
        <v>0.11483860393324399</v>
      </c>
      <c r="KG345" s="5">
        <v>-0.103243122800924</v>
      </c>
      <c r="KH345" s="5">
        <v>0.17628161541040199</v>
      </c>
      <c r="KI345" s="5">
        <v>-0.19506611732166401</v>
      </c>
      <c r="KJ345" s="5">
        <v>0.31671866962928202</v>
      </c>
      <c r="KK345" s="5">
        <v>-0.41433795964221398</v>
      </c>
      <c r="KL345" s="5">
        <v>-8.9430455045010293E-2</v>
      </c>
      <c r="KM345" s="5">
        <v>5.4794629562133802E-2</v>
      </c>
      <c r="KN345" s="5">
        <v>4.5167844642220699E-2</v>
      </c>
      <c r="KO345" s="5">
        <v>-0.103794574359634</v>
      </c>
      <c r="KP345" s="5">
        <v>-6.0502166714157202E-2</v>
      </c>
      <c r="KQ345" s="5">
        <v>-2.8958114562847002E-2</v>
      </c>
      <c r="KR345" s="5">
        <v>0.32123534884024502</v>
      </c>
      <c r="KS345" s="5">
        <v>-0.46554376204884101</v>
      </c>
      <c r="KT345" s="5">
        <v>0.377683846787637</v>
      </c>
      <c r="KU345" s="5">
        <v>-0.51142337190224396</v>
      </c>
      <c r="KV345" s="5">
        <v>0.25100823805589101</v>
      </c>
      <c r="KW345" s="5">
        <v>-0.337492102944216</v>
      </c>
      <c r="KX345" s="5">
        <v>0.32423214569502001</v>
      </c>
      <c r="KY345" s="5">
        <v>-0.454300973663264</v>
      </c>
      <c r="KZ345" s="5">
        <v>0.211310995723026</v>
      </c>
      <c r="LA345" s="5">
        <v>-0.28000378036861301</v>
      </c>
      <c r="LB345" s="5">
        <v>0.25667961789156801</v>
      </c>
      <c r="LC345" s="5">
        <v>-0.41213462109180798</v>
      </c>
      <c r="LD345" s="5">
        <v>0.13966676866115499</v>
      </c>
      <c r="LE345" s="5">
        <v>-0.23522323460971101</v>
      </c>
      <c r="LF345" s="5">
        <v>-6.6542512541401506E-5</v>
      </c>
      <c r="LG345" s="5">
        <v>-4.3750230718249399E-2</v>
      </c>
      <c r="LH345" s="5">
        <v>0.33670205500519801</v>
      </c>
      <c r="LI345" s="5">
        <v>-0.49953050555849299</v>
      </c>
      <c r="LJ345" s="5">
        <v>6.0974489275248997E-2</v>
      </c>
      <c r="LK345" s="5">
        <v>-0.11464458636542101</v>
      </c>
      <c r="LL345" s="5">
        <v>0.274292116602256</v>
      </c>
      <c r="LM345" s="5">
        <v>-0.43435723617702199</v>
      </c>
      <c r="LN345" s="5">
        <v>0.12619785404835501</v>
      </c>
      <c r="LO345" s="5">
        <v>-0.244347679662828</v>
      </c>
      <c r="LP345" s="5">
        <v>8.2607396794882201E-2</v>
      </c>
      <c r="LQ345" s="5">
        <v>-0.26780946566113201</v>
      </c>
      <c r="LR345" s="5">
        <v>2.6925206870343402E-2</v>
      </c>
      <c r="LS345" s="5">
        <v>-8.3776958359727094E-2</v>
      </c>
      <c r="LT345" s="5">
        <v>4.1973868757890699E-2</v>
      </c>
      <c r="LU345" s="5">
        <v>-9.0465292461800906E-2</v>
      </c>
      <c r="LV345" s="5">
        <v>0.128494381311797</v>
      </c>
      <c r="LW345" s="5">
        <v>-0.17023416122223201</v>
      </c>
      <c r="LX345" s="5">
        <v>0.15640296713863899</v>
      </c>
      <c r="LY345" s="5">
        <v>-0.14701812439994799</v>
      </c>
      <c r="LZ345" s="5">
        <v>0.21531592191239601</v>
      </c>
      <c r="MA345" s="5">
        <v>-0.34492902869356301</v>
      </c>
      <c r="MB345" s="5">
        <v>0.35123605528625101</v>
      </c>
      <c r="MC345" s="5">
        <v>-0.50677678703745099</v>
      </c>
      <c r="MD345" s="5">
        <v>0.16503673697684801</v>
      </c>
      <c r="ME345" s="5">
        <v>-0.338503961467718</v>
      </c>
      <c r="MF345" s="5">
        <v>-0.85376120187440696</v>
      </c>
      <c r="MG345" s="5">
        <v>1</v>
      </c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</row>
    <row r="346" spans="1:389" x14ac:dyDescent="0.45">
      <c r="A346" s="4" t="str">
        <f ca="1">"TKM / beta1dist in "&amp;CELL("address",'damages-1990'!$J$174)</f>
        <v>TKM / beta1dist in '[BHM betas v3pd.xlsx]damages-1990'!$J$174</v>
      </c>
      <c r="B346" s="6">
        <v>0.68399847227169397</v>
      </c>
      <c r="C346" s="5">
        <v>-0.33302754301198001</v>
      </c>
      <c r="D346" s="5">
        <v>0.41244420978873902</v>
      </c>
      <c r="E346" s="5">
        <v>-0.10797822216318199</v>
      </c>
      <c r="F346" s="5">
        <v>0.40286531137204101</v>
      </c>
      <c r="G346" s="5">
        <v>-2.9952311825192E-2</v>
      </c>
      <c r="H346" s="5">
        <v>7.2139982622121193E-2</v>
      </c>
      <c r="I346" s="5">
        <v>3.93926375775294E-2</v>
      </c>
      <c r="J346" s="5">
        <v>0.48449846935972202</v>
      </c>
      <c r="K346" s="5">
        <v>-0.25835212717037498</v>
      </c>
      <c r="L346" s="5">
        <v>0.66202121448939999</v>
      </c>
      <c r="M346" s="5">
        <v>-0.32550256002051198</v>
      </c>
      <c r="N346" s="5">
        <v>0.12795374099103399</v>
      </c>
      <c r="O346" s="5">
        <v>0.1064836436108</v>
      </c>
      <c r="P346" s="5">
        <v>9.1990478465955094E-2</v>
      </c>
      <c r="Q346" s="5">
        <v>4.7202859858391302E-2</v>
      </c>
      <c r="R346" s="5">
        <v>0.40367011463415098</v>
      </c>
      <c r="S346" s="5">
        <v>-9.0847428388899906E-2</v>
      </c>
      <c r="T346" s="5">
        <v>0.11436172565271301</v>
      </c>
      <c r="U346" s="5">
        <v>2.1267903582602301E-2</v>
      </c>
      <c r="V346" s="5">
        <v>0.60875375708470703</v>
      </c>
      <c r="W346" s="5">
        <v>-0.22747202903264599</v>
      </c>
      <c r="X346" s="5">
        <v>0.31402006238706398</v>
      </c>
      <c r="Y346" s="5">
        <v>9.8690354956329496E-3</v>
      </c>
      <c r="Z346" s="5">
        <v>0.228849058465567</v>
      </c>
      <c r="AA346" s="5">
        <v>1.6311363732604899E-2</v>
      </c>
      <c r="AB346" s="5">
        <v>0.289175656502905</v>
      </c>
      <c r="AC346" s="5">
        <v>-0.107749977866995</v>
      </c>
      <c r="AD346" s="5">
        <v>0.369513082007488</v>
      </c>
      <c r="AE346" s="5">
        <v>-0.13875532718356301</v>
      </c>
      <c r="AF346" s="5">
        <v>0.35537471049505898</v>
      </c>
      <c r="AG346" s="5">
        <v>-0.181497668382362</v>
      </c>
      <c r="AH346" s="5">
        <v>0.35151455212715599</v>
      </c>
      <c r="AI346" s="5">
        <v>-3.5606267437325399E-3</v>
      </c>
      <c r="AJ346" s="5">
        <v>0.45792662262398098</v>
      </c>
      <c r="AK346" s="5">
        <v>-0.263766613696926</v>
      </c>
      <c r="AL346" s="5">
        <v>4.7289447467681399E-2</v>
      </c>
      <c r="AM346" s="5">
        <v>0.13670904572256801</v>
      </c>
      <c r="AN346" s="5">
        <v>0.25028352628390699</v>
      </c>
      <c r="AO346" s="5">
        <v>2.7747469092281801E-2</v>
      </c>
      <c r="AP346" s="5">
        <v>0.133711272429624</v>
      </c>
      <c r="AQ346" s="5">
        <v>3.2776921087105402E-3</v>
      </c>
      <c r="AR346" s="5">
        <v>0.19268320257975899</v>
      </c>
      <c r="AS346" s="5">
        <v>6.9946239888420095E-2</v>
      </c>
      <c r="AT346" s="5">
        <v>0.152254353830758</v>
      </c>
      <c r="AU346" s="5">
        <v>-2.71753996614803E-2</v>
      </c>
      <c r="AV346" s="5">
        <v>0.30795414871853899</v>
      </c>
      <c r="AW346" s="5">
        <v>2.8230711640185799E-2</v>
      </c>
      <c r="AX346" s="5">
        <v>0.33067212605198298</v>
      </c>
      <c r="AY346" s="5">
        <v>-3.6576333393024303E-2</v>
      </c>
      <c r="AZ346" s="5">
        <v>0.23287702543338501</v>
      </c>
      <c r="BA346" s="5">
        <v>-7.8830023084077702E-2</v>
      </c>
      <c r="BB346" s="5">
        <v>0.43462888335565403</v>
      </c>
      <c r="BC346" s="5">
        <v>-0.19790132674359701</v>
      </c>
      <c r="BD346" s="5">
        <v>0.448323067426868</v>
      </c>
      <c r="BE346" s="5">
        <v>-3.5287302782271497E-2</v>
      </c>
      <c r="BF346" s="5">
        <v>0.264908919202615</v>
      </c>
      <c r="BG346" s="5">
        <v>-3.39110357449584E-2</v>
      </c>
      <c r="BH346" s="5">
        <v>0.45017762166289599</v>
      </c>
      <c r="BI346" s="5">
        <v>-0.19215221635962901</v>
      </c>
      <c r="BJ346" s="5">
        <v>-8.39144534136467E-2</v>
      </c>
      <c r="BK346" s="5">
        <v>0.16571832887900001</v>
      </c>
      <c r="BL346" s="5">
        <v>0.12889037620949201</v>
      </c>
      <c r="BM346" s="5">
        <v>-7.2137370817961996E-3</v>
      </c>
      <c r="BN346" s="5">
        <v>0.187996165241756</v>
      </c>
      <c r="BO346" s="5">
        <v>0.124140294175933</v>
      </c>
      <c r="BP346" s="5">
        <v>0.19916696191889799</v>
      </c>
      <c r="BQ346" s="5">
        <v>5.3738245687457997E-2</v>
      </c>
      <c r="BR346" s="5">
        <v>0.280085697054551</v>
      </c>
      <c r="BS346" s="5">
        <v>-7.2818267644224402E-2</v>
      </c>
      <c r="BT346" s="5">
        <v>0.41768424054178299</v>
      </c>
      <c r="BU346" s="5">
        <v>-0.156330973035225</v>
      </c>
      <c r="BV346" s="5">
        <v>0.38448344437340598</v>
      </c>
      <c r="BW346" s="5">
        <v>-0.103382864431513</v>
      </c>
      <c r="BX346" s="5">
        <v>0.35996621388362099</v>
      </c>
      <c r="BY346" s="5">
        <v>-0.114451070468623</v>
      </c>
      <c r="BZ346" s="5">
        <v>0.31053554789224702</v>
      </c>
      <c r="CA346" s="5">
        <v>-5.5534962023371597E-2</v>
      </c>
      <c r="CB346" s="5">
        <v>6.9856307169805995E-2</v>
      </c>
      <c r="CC346" s="5">
        <v>0.110341327308207</v>
      </c>
      <c r="CD346" s="5">
        <v>0.39111718345912599</v>
      </c>
      <c r="CE346" s="5">
        <v>-0.20426878142361299</v>
      </c>
      <c r="CF346" s="5">
        <v>0.20745129410765401</v>
      </c>
      <c r="CG346" s="5">
        <v>-1.07277607596222E-2</v>
      </c>
      <c r="CH346" s="5">
        <v>9.3913784089665504E-3</v>
      </c>
      <c r="CI346" s="5">
        <v>0.172527691782045</v>
      </c>
      <c r="CJ346" s="5">
        <v>0.26214767851098802</v>
      </c>
      <c r="CK346" s="5">
        <v>-3.5088842011063603E-2</v>
      </c>
      <c r="CL346" s="5">
        <v>0.15082381959518701</v>
      </c>
      <c r="CM346" s="5">
        <v>2.84966920961283E-2</v>
      </c>
      <c r="CN346" s="5">
        <v>0.18579771223007999</v>
      </c>
      <c r="CO346" s="5">
        <v>2.9189343873854801E-2</v>
      </c>
      <c r="CP346" s="5">
        <v>0.356203159640823</v>
      </c>
      <c r="CQ346" s="5">
        <v>-0.16456092606438</v>
      </c>
      <c r="CR346" s="5">
        <v>0.162666322568567</v>
      </c>
      <c r="CS346" s="5">
        <v>2.88101434432072E-2</v>
      </c>
      <c r="CT346" s="5">
        <v>0.108644614012913</v>
      </c>
      <c r="CU346" s="5">
        <v>4.1975290182754997E-2</v>
      </c>
      <c r="CV346" s="5">
        <v>0.164601536990029</v>
      </c>
      <c r="CW346" s="5">
        <v>3.1544942057648302E-2</v>
      </c>
      <c r="CX346" s="5">
        <v>0.40041441966717101</v>
      </c>
      <c r="CY346" s="5">
        <v>-0.122381546742799</v>
      </c>
      <c r="CZ346" s="5">
        <v>0.25461992385971999</v>
      </c>
      <c r="DA346" s="5">
        <v>1.7989976254551E-2</v>
      </c>
      <c r="DB346" s="5">
        <v>0.32544416026854001</v>
      </c>
      <c r="DC346" s="5">
        <v>8.2890316926206194E-3</v>
      </c>
      <c r="DD346" s="5">
        <v>0.46767563220438202</v>
      </c>
      <c r="DE346" s="5">
        <v>-0.22563138239618899</v>
      </c>
      <c r="DF346" s="5">
        <v>0.42863815556448698</v>
      </c>
      <c r="DG346" s="5">
        <v>-0.20926099857331901</v>
      </c>
      <c r="DH346" s="5">
        <v>0.44456162508598701</v>
      </c>
      <c r="DI346" s="5">
        <v>-5.58059384623956E-2</v>
      </c>
      <c r="DJ346" s="5">
        <v>7.02749046145551E-2</v>
      </c>
      <c r="DK346" s="5">
        <v>3.4150211557590002E-2</v>
      </c>
      <c r="DL346" s="5">
        <v>0.37474194269279598</v>
      </c>
      <c r="DM346" s="5">
        <v>-8.7251526447381905E-2</v>
      </c>
      <c r="DN346" s="5">
        <v>7.7817348552355101E-2</v>
      </c>
      <c r="DO346" s="5">
        <v>-2.7513881904499101E-2</v>
      </c>
      <c r="DP346" s="5">
        <v>0.337409695788774</v>
      </c>
      <c r="DQ346" s="5">
        <v>-0.149799766250795</v>
      </c>
      <c r="DR346" s="5">
        <v>0.31720325013543299</v>
      </c>
      <c r="DS346" s="5">
        <v>8.0413926464728992E-3</v>
      </c>
      <c r="DT346" s="5">
        <v>0.23106379755298501</v>
      </c>
      <c r="DU346" s="5">
        <v>-0.11885550496562799</v>
      </c>
      <c r="DV346" s="5">
        <v>0.25594830632837201</v>
      </c>
      <c r="DW346" s="5">
        <v>-4.99157818725256E-2</v>
      </c>
      <c r="DX346" s="5">
        <v>0.19178360622062601</v>
      </c>
      <c r="DY346" s="5">
        <v>-1.46134937747893E-2</v>
      </c>
      <c r="DZ346" s="5">
        <v>0.19741519832523499</v>
      </c>
      <c r="EA346" s="5">
        <v>5.7403061217608603E-2</v>
      </c>
      <c r="EB346" s="5">
        <v>0.34290364219536101</v>
      </c>
      <c r="EC346" s="5">
        <v>-0.110049790598611</v>
      </c>
      <c r="ED346" s="5">
        <v>0.37738284656280402</v>
      </c>
      <c r="EE346" s="5">
        <v>-0.121508226138365</v>
      </c>
      <c r="EF346" s="5">
        <v>0.131163383062806</v>
      </c>
      <c r="EG346" s="5">
        <v>3.2424568466566703E-2</v>
      </c>
      <c r="EH346" s="5">
        <v>0.43120775946724099</v>
      </c>
      <c r="EI346" s="5">
        <v>-0.158396351755831</v>
      </c>
      <c r="EJ346" s="5">
        <v>0.43792437379569599</v>
      </c>
      <c r="EK346" s="5">
        <v>-0.15003488926928599</v>
      </c>
      <c r="EL346" s="5">
        <v>0.36804062422086398</v>
      </c>
      <c r="EM346" s="5">
        <v>-0.13658166514289499</v>
      </c>
      <c r="EN346" s="5">
        <v>0.408083906269052</v>
      </c>
      <c r="EO346" s="5">
        <v>-6.9579979555007498E-2</v>
      </c>
      <c r="EP346" s="5">
        <v>0.254245634787862</v>
      </c>
      <c r="EQ346" s="5">
        <v>-7.4904349668404396E-2</v>
      </c>
      <c r="ER346" s="5">
        <v>0.27636405549190701</v>
      </c>
      <c r="ES346" s="5">
        <v>2.79903682518386E-2</v>
      </c>
      <c r="ET346" s="5">
        <v>0.323411219800257</v>
      </c>
      <c r="EU346" s="5">
        <v>-0.103580879764791</v>
      </c>
      <c r="EV346" s="5">
        <v>0.311570006799613</v>
      </c>
      <c r="EW346" s="5">
        <v>-8.4564928194446998E-2</v>
      </c>
      <c r="EX346" s="5">
        <v>0.22226558386338599</v>
      </c>
      <c r="EY346" s="5">
        <v>-1.35237869235842E-2</v>
      </c>
      <c r="EZ346" s="5">
        <v>0.27198772395572901</v>
      </c>
      <c r="FA346" s="5">
        <v>7.8657885989196208E-3</v>
      </c>
      <c r="FB346" s="5">
        <v>0.32148708294074002</v>
      </c>
      <c r="FC346" s="5">
        <v>3.2895400635419798E-2</v>
      </c>
      <c r="FD346" s="5">
        <v>0.143662148891748</v>
      </c>
      <c r="FE346" s="5">
        <v>7.7583343917209904E-2</v>
      </c>
      <c r="FF346" s="5">
        <v>0.29854032462114899</v>
      </c>
      <c r="FG346" s="5">
        <v>1.2790754066815299E-2</v>
      </c>
      <c r="FH346" s="5">
        <v>0.37872773942687998</v>
      </c>
      <c r="FI346" s="5">
        <v>-0.213351777810663</v>
      </c>
      <c r="FJ346" s="5">
        <v>0.46594527075130798</v>
      </c>
      <c r="FK346" s="5">
        <v>-0.192641754522207</v>
      </c>
      <c r="FL346" s="5">
        <v>0.22020200973465701</v>
      </c>
      <c r="FM346" s="5">
        <v>-1.3155242911611501E-2</v>
      </c>
      <c r="FN346" s="5">
        <v>0.71708499920920699</v>
      </c>
      <c r="FO346" s="5">
        <v>-0.401760717281055</v>
      </c>
      <c r="FP346" s="5">
        <v>0.494851283744764</v>
      </c>
      <c r="FQ346" s="5">
        <v>-0.22401485283192701</v>
      </c>
      <c r="FR346" s="5">
        <v>3.2201349388838299E-2</v>
      </c>
      <c r="FS346" s="5">
        <v>4.2343696011018998E-2</v>
      </c>
      <c r="FT346" s="5">
        <v>0.37870575932380901</v>
      </c>
      <c r="FU346" s="5">
        <v>-4.38737579459611E-2</v>
      </c>
      <c r="FV346" s="5">
        <v>0.39439786509706298</v>
      </c>
      <c r="FW346" s="5">
        <v>-2.2261364532333901E-2</v>
      </c>
      <c r="FX346" s="5">
        <v>9.56249911161315E-2</v>
      </c>
      <c r="FY346" s="5">
        <v>0.140870479396695</v>
      </c>
      <c r="FZ346" s="5">
        <v>0.44764887723373598</v>
      </c>
      <c r="GA346" s="5">
        <v>-8.9871293905301602E-2</v>
      </c>
      <c r="GB346" s="5">
        <v>0.39959203015757999</v>
      </c>
      <c r="GC346" s="5">
        <v>-3.73696444763904E-2</v>
      </c>
      <c r="GD346" s="5">
        <v>-7.6295258907143296E-2</v>
      </c>
      <c r="GE346" s="5">
        <v>0.249809554170174</v>
      </c>
      <c r="GF346" s="5">
        <v>0.33458602338348697</v>
      </c>
      <c r="GG346" s="5">
        <v>-8.9976759058313899E-2</v>
      </c>
      <c r="GH346" s="5">
        <v>-0.12571520833630101</v>
      </c>
      <c r="GI346" s="5">
        <v>0.233243786523542</v>
      </c>
      <c r="GJ346" s="5">
        <v>0.22887673340741899</v>
      </c>
      <c r="GK346" s="5">
        <v>-5.1969193750736704E-3</v>
      </c>
      <c r="GL346" s="5">
        <v>0.139710868330573</v>
      </c>
      <c r="GM346" s="5">
        <v>-6.4986188991600601E-3</v>
      </c>
      <c r="GN346" s="5">
        <v>0.41542960923919198</v>
      </c>
      <c r="GO346" s="5">
        <v>-5.9302359501295303E-2</v>
      </c>
      <c r="GP346" s="5">
        <v>0.50168586082442201</v>
      </c>
      <c r="GQ346" s="5">
        <v>-0.27017035486791602</v>
      </c>
      <c r="GR346" s="5">
        <v>0.324763679916583</v>
      </c>
      <c r="GS346" s="5">
        <v>-9.7402835943228697E-2</v>
      </c>
      <c r="GT346" s="5">
        <v>0.44105636830308398</v>
      </c>
      <c r="GU346" s="5">
        <v>-5.14484665008711E-2</v>
      </c>
      <c r="GV346" s="5">
        <v>0.233433645551021</v>
      </c>
      <c r="GW346" s="5">
        <v>-2.6179800921965798E-2</v>
      </c>
      <c r="GX346" s="5">
        <v>0.34742632005819502</v>
      </c>
      <c r="GY346" s="5">
        <v>-6.9288670089144994E-2</v>
      </c>
      <c r="GZ346" s="5">
        <v>0.120817304573358</v>
      </c>
      <c r="HA346" s="5">
        <v>-9.9273696200820804E-4</v>
      </c>
      <c r="HB346" s="5">
        <v>0.21135320270855401</v>
      </c>
      <c r="HC346" s="5">
        <v>2.17662659286076E-2</v>
      </c>
      <c r="HD346" s="5">
        <v>0.44352670635055003</v>
      </c>
      <c r="HE346" s="5">
        <v>2.5472482278883699E-2</v>
      </c>
      <c r="HF346" s="5">
        <v>0.11274607284583101</v>
      </c>
      <c r="HG346" s="5">
        <v>1.34719005163075E-2</v>
      </c>
      <c r="HH346" s="5">
        <v>0.21556633708779599</v>
      </c>
      <c r="HI346" s="5">
        <v>1.1380200376705899E-2</v>
      </c>
      <c r="HJ346" s="5">
        <v>8.4646184297848606E-2</v>
      </c>
      <c r="HK346" s="5">
        <v>2.7030892781760098E-2</v>
      </c>
      <c r="HL346" s="5">
        <v>0.460471927178776</v>
      </c>
      <c r="HM346" s="5">
        <v>-0.145745229757406</v>
      </c>
      <c r="HN346" s="5">
        <v>0.31278520622019002</v>
      </c>
      <c r="HO346" s="5">
        <v>-1.3468168012213601E-2</v>
      </c>
      <c r="HP346" s="5">
        <v>0.31280873089325301</v>
      </c>
      <c r="HQ346" s="5">
        <v>-5.1665702633724199E-3</v>
      </c>
      <c r="HR346" s="5">
        <v>0.39999156784634599</v>
      </c>
      <c r="HS346" s="5">
        <v>-2.5963691553347198E-2</v>
      </c>
      <c r="HT346" s="5">
        <v>0.33243469499791101</v>
      </c>
      <c r="HU346" s="5">
        <v>3.6499726868441701E-3</v>
      </c>
      <c r="HV346" s="5">
        <v>0.42814114099103701</v>
      </c>
      <c r="HW346" s="5">
        <v>-0.18202874500035601</v>
      </c>
      <c r="HX346" s="5">
        <v>0.365525992480285</v>
      </c>
      <c r="HY346" s="5">
        <v>-0.119471342815593</v>
      </c>
      <c r="HZ346" s="5">
        <v>0.20822637455929099</v>
      </c>
      <c r="IA346" s="5">
        <v>3.1587419323665503E-2</v>
      </c>
      <c r="IB346" s="5">
        <v>-8.8850279588637004E-2</v>
      </c>
      <c r="IC346" s="5">
        <v>0.166808183938361</v>
      </c>
      <c r="ID346" s="5">
        <v>0.32560399827999897</v>
      </c>
      <c r="IE346" s="5">
        <v>-4.8902154515523599E-2</v>
      </c>
      <c r="IF346" s="5">
        <v>0.45288254296188801</v>
      </c>
      <c r="IG346" s="5">
        <v>-0.21472633969445901</v>
      </c>
      <c r="IH346" s="5">
        <v>0.185748564560788</v>
      </c>
      <c r="II346" s="5">
        <v>-7.9934876478131196E-3</v>
      </c>
      <c r="IJ346" s="5">
        <v>2.7344204711527601E-2</v>
      </c>
      <c r="IK346" s="5">
        <v>8.4908430670870297E-2</v>
      </c>
      <c r="IL346" s="5">
        <v>0.51187794192128699</v>
      </c>
      <c r="IM346" s="5">
        <v>-0.26814578874024197</v>
      </c>
      <c r="IN346" s="5">
        <v>0.44126933364062298</v>
      </c>
      <c r="IO346" s="5">
        <v>-0.247483751069769</v>
      </c>
      <c r="IP346" s="5">
        <v>0.33541166596798699</v>
      </c>
      <c r="IQ346" s="5">
        <v>-2.1081684862535598E-2</v>
      </c>
      <c r="IR346" s="5">
        <v>0.184341325356737</v>
      </c>
      <c r="IS346" s="5">
        <v>-1.4826717659233799E-2</v>
      </c>
      <c r="IT346" s="5">
        <v>0.34539340891805698</v>
      </c>
      <c r="IU346" s="5">
        <v>-8.2154898826195102E-2</v>
      </c>
      <c r="IV346" s="5">
        <v>0.27530231435444202</v>
      </c>
      <c r="IW346" s="5">
        <v>-7.6991906821030007E-2</v>
      </c>
      <c r="IX346" s="5">
        <v>0.26818053817422499</v>
      </c>
      <c r="IY346" s="5">
        <v>-3.3028168093267501E-2</v>
      </c>
      <c r="IZ346" s="5">
        <v>0.19726600365215299</v>
      </c>
      <c r="JA346" s="5">
        <v>2.3103954345769E-2</v>
      </c>
      <c r="JB346" s="5">
        <v>7.26190146372237E-2</v>
      </c>
      <c r="JC346" s="5">
        <v>-2.9560084012056301E-2</v>
      </c>
      <c r="JD346" s="5">
        <v>0.597435094622083</v>
      </c>
      <c r="JE346" s="5">
        <v>-0.21921163314014699</v>
      </c>
      <c r="JF346" s="5">
        <v>8.5397804826513393E-2</v>
      </c>
      <c r="JG346" s="5">
        <v>3.0567556467007002E-2</v>
      </c>
      <c r="JH346" s="5">
        <v>0.31719449850734399</v>
      </c>
      <c r="JI346" s="5">
        <v>-2.3101499833999398E-2</v>
      </c>
      <c r="JJ346" s="5">
        <v>0.48773903301705901</v>
      </c>
      <c r="JK346" s="5">
        <v>-0.21760839745007399</v>
      </c>
      <c r="JL346" s="5">
        <v>0.60174924939408203</v>
      </c>
      <c r="JM346" s="5">
        <v>-0.30725506007083597</v>
      </c>
      <c r="JN346" s="5">
        <v>0.22745232241977101</v>
      </c>
      <c r="JO346" s="5">
        <v>-8.7109046318200895E-3</v>
      </c>
      <c r="JP346" s="5">
        <v>0.35452212427095903</v>
      </c>
      <c r="JQ346" s="5">
        <v>-2.0940785412854001E-2</v>
      </c>
      <c r="JR346" s="5">
        <v>0.19846148619486201</v>
      </c>
      <c r="JS346" s="5">
        <v>5.8458074543161397E-2</v>
      </c>
      <c r="JT346" s="5">
        <v>0.117913003468745</v>
      </c>
      <c r="JU346" s="5">
        <v>1.0935619361653199E-2</v>
      </c>
      <c r="JV346" s="5">
        <v>0.403811488288845</v>
      </c>
      <c r="JW346" s="5">
        <v>-0.18337624430925301</v>
      </c>
      <c r="JX346" s="5">
        <v>0.16403631375066</v>
      </c>
      <c r="JY346" s="5">
        <v>8.7379976125300293E-3</v>
      </c>
      <c r="JZ346" s="5">
        <v>0.12617300291349501</v>
      </c>
      <c r="KA346" s="5">
        <v>4.4306508510506298E-2</v>
      </c>
      <c r="KB346" s="5">
        <v>0.13944089543743499</v>
      </c>
      <c r="KC346" s="5">
        <v>1.05727071694529E-2</v>
      </c>
      <c r="KD346" s="5">
        <v>0.388331904359213</v>
      </c>
      <c r="KE346" s="5">
        <v>-3.63628417166032E-2</v>
      </c>
      <c r="KF346" s="5">
        <v>0.30991086349144698</v>
      </c>
      <c r="KG346" s="5">
        <v>-9.6139064801676097E-2</v>
      </c>
      <c r="KH346" s="5">
        <v>0.38181334071814799</v>
      </c>
      <c r="KI346" s="5">
        <v>-3.8287209791710602E-2</v>
      </c>
      <c r="KJ346" s="5">
        <v>0.48214626968977697</v>
      </c>
      <c r="KK346" s="5">
        <v>-0.27825771824203299</v>
      </c>
      <c r="KL346" s="5">
        <v>0.147189816319485</v>
      </c>
      <c r="KM346" s="5">
        <v>0.14336285351052799</v>
      </c>
      <c r="KN346" s="5">
        <v>0.270582336461344</v>
      </c>
      <c r="KO346" s="5">
        <v>3.8616671637770098E-3</v>
      </c>
      <c r="KP346" s="5">
        <v>1.00255775752569E-2</v>
      </c>
      <c r="KQ346" s="5">
        <v>-6.1319704010655101E-4</v>
      </c>
      <c r="KR346" s="5">
        <v>0.35476430212523502</v>
      </c>
      <c r="KS346" s="5">
        <v>-2.3603736559045199E-2</v>
      </c>
      <c r="KT346" s="5">
        <v>0.51522032034554599</v>
      </c>
      <c r="KU346" s="5">
        <v>-0.26527125010576302</v>
      </c>
      <c r="KV346" s="5">
        <v>0.49176298603875701</v>
      </c>
      <c r="KW346" s="5">
        <v>-0.23938071047982901</v>
      </c>
      <c r="KX346" s="5">
        <v>0.43011794709734202</v>
      </c>
      <c r="KY346" s="5">
        <v>-0.16141155085755701</v>
      </c>
      <c r="KZ346" s="5">
        <v>0.193305928992756</v>
      </c>
      <c r="LA346" s="5">
        <v>-6.8293991809664806E-2</v>
      </c>
      <c r="LB346" s="5">
        <v>0.43171235257389301</v>
      </c>
      <c r="LC346" s="5">
        <v>-0.19494961209785699</v>
      </c>
      <c r="LD346" s="5">
        <v>0.19627972605774799</v>
      </c>
      <c r="LE346" s="5">
        <v>8.2044588500879798E-2</v>
      </c>
      <c r="LF346" s="5">
        <v>0.33848509383960501</v>
      </c>
      <c r="LG346" s="5">
        <v>1.11679858653745E-2</v>
      </c>
      <c r="LH346" s="5">
        <v>0.365212632181456</v>
      </c>
      <c r="LI346" s="5">
        <v>-0.11638883833831699</v>
      </c>
      <c r="LJ346" s="5">
        <v>0.33307686010456</v>
      </c>
      <c r="LK346" s="5">
        <v>1.1186631361583399E-2</v>
      </c>
      <c r="LL346" s="5">
        <v>0.34343662667485098</v>
      </c>
      <c r="LM346" s="5">
        <v>-0.134565054188237</v>
      </c>
      <c r="LN346" s="5">
        <v>0.248413391574974</v>
      </c>
      <c r="LO346" s="5">
        <v>-5.5804865759285401E-2</v>
      </c>
      <c r="LP346" s="5">
        <v>0.363685421451728</v>
      </c>
      <c r="LQ346" s="5">
        <v>-0.17026034777801699</v>
      </c>
      <c r="LR346" s="5">
        <v>0.13520960198366699</v>
      </c>
      <c r="LS346" s="5">
        <v>3.7058021904811098E-2</v>
      </c>
      <c r="LT346" s="5">
        <v>0.21009685499886799</v>
      </c>
      <c r="LU346" s="5">
        <v>3.5148006645986503E-2</v>
      </c>
      <c r="LV346" s="5">
        <v>6.4322912757299303E-2</v>
      </c>
      <c r="LW346" s="5">
        <v>-1.92987671778065E-2</v>
      </c>
      <c r="LX346" s="5">
        <v>0.47862357491864999</v>
      </c>
      <c r="LY346" s="5">
        <v>-0.15540309520258899</v>
      </c>
      <c r="LZ346" s="5">
        <v>0.44106983917523201</v>
      </c>
      <c r="MA346" s="5">
        <v>-0.19912089354440299</v>
      </c>
      <c r="MB346" s="5">
        <v>0.304913593875074</v>
      </c>
      <c r="MC346" s="5">
        <v>-9.5515335820212904E-2</v>
      </c>
      <c r="MD346" s="5">
        <v>0.268393018808676</v>
      </c>
      <c r="ME346" s="5">
        <v>-7.0360162082525907E-2</v>
      </c>
      <c r="MF346" s="5">
        <v>1.41497569436363E-2</v>
      </c>
      <c r="MG346" s="5">
        <v>0.14723000042020201</v>
      </c>
      <c r="MH346" s="5">
        <v>1</v>
      </c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</row>
    <row r="347" spans="1:389" x14ac:dyDescent="0.45">
      <c r="A347" s="4" t="str">
        <f ca="1">"TKM / beta2dist in "&amp;CELL("address",'damages-1990'!$K$174)</f>
        <v>TKM / beta2dist in '[BHM betas v3pd.xlsx]damages-1990'!$K$174</v>
      </c>
      <c r="B347" s="6">
        <v>-0.40327230600550901</v>
      </c>
      <c r="C347" s="5">
        <v>0.59707935197906603</v>
      </c>
      <c r="D347" s="5">
        <v>-1.0869664016476601E-2</v>
      </c>
      <c r="E347" s="5">
        <v>0.153340367618886</v>
      </c>
      <c r="F347" s="5">
        <v>-0.100826573278575</v>
      </c>
      <c r="G347" s="5">
        <v>0.10738706629916001</v>
      </c>
      <c r="H347" s="5">
        <v>-0.138985351528815</v>
      </c>
      <c r="I347" s="5">
        <v>5.5572986068234298E-2</v>
      </c>
      <c r="J347" s="5">
        <v>-0.16239690360166101</v>
      </c>
      <c r="K347" s="5">
        <v>0.38691035417862801</v>
      </c>
      <c r="L347" s="5">
        <v>-0.27267403193452799</v>
      </c>
      <c r="M347" s="5">
        <v>0.41397638527559999</v>
      </c>
      <c r="N347" s="5">
        <v>-9.7996964149162109E-3</v>
      </c>
      <c r="O347" s="5">
        <v>-0.123045157679934</v>
      </c>
      <c r="P347" s="5">
        <v>0.11562717259512401</v>
      </c>
      <c r="Q347" s="5">
        <v>-2.0255796695929701E-3</v>
      </c>
      <c r="R347" s="5">
        <v>2.7338953835736E-2</v>
      </c>
      <c r="S347" s="5">
        <v>0.10128685925197101</v>
      </c>
      <c r="T347" s="5">
        <v>-0.128234506407784</v>
      </c>
      <c r="U347" s="5">
        <v>7.66177902303109E-2</v>
      </c>
      <c r="V347" s="5">
        <v>-0.25925254832198402</v>
      </c>
      <c r="W347" s="5">
        <v>0.37215649740962797</v>
      </c>
      <c r="X347" s="5">
        <v>0.101859240183785</v>
      </c>
      <c r="Y347" s="5">
        <v>2.29416525794266E-2</v>
      </c>
      <c r="Z347" s="5">
        <v>-8.4683454475946801E-2</v>
      </c>
      <c r="AA347" s="5">
        <v>5.4633457243793697E-2</v>
      </c>
      <c r="AB347" s="5">
        <v>-4.5877381735143601E-3</v>
      </c>
      <c r="AC347" s="5">
        <v>0.14742450667236501</v>
      </c>
      <c r="AD347" s="5">
        <v>-0.13031976886361701</v>
      </c>
      <c r="AE347" s="5">
        <v>0.23900562770947401</v>
      </c>
      <c r="AF347" s="5">
        <v>6.1524710742635897E-3</v>
      </c>
      <c r="AG347" s="5">
        <v>0.183835365504984</v>
      </c>
      <c r="AH347" s="5">
        <v>-0.11566476079681801</v>
      </c>
      <c r="AI347" s="5">
        <v>9.8887209892307898E-2</v>
      </c>
      <c r="AJ347" s="5">
        <v>-0.187626112388628</v>
      </c>
      <c r="AK347" s="5">
        <v>0.43008055744428603</v>
      </c>
      <c r="AL347" s="5">
        <v>0.35710395295152397</v>
      </c>
      <c r="AM347" s="5">
        <v>-0.32169197080474699</v>
      </c>
      <c r="AN347" s="5">
        <v>-0.120084650796338</v>
      </c>
      <c r="AO347" s="5">
        <v>7.4210793255947899E-2</v>
      </c>
      <c r="AP347" s="5">
        <v>-0.18339185231310001</v>
      </c>
      <c r="AQ347" s="5">
        <v>0.13617541394195501</v>
      </c>
      <c r="AR347" s="5">
        <v>0.23425306565564699</v>
      </c>
      <c r="AS347" s="5">
        <v>-0.19116678061488801</v>
      </c>
      <c r="AT347" s="5">
        <v>0.14951523745079301</v>
      </c>
      <c r="AU347" s="5">
        <v>-4.5038606246536002E-2</v>
      </c>
      <c r="AV347" s="5">
        <v>0.193106325447226</v>
      </c>
      <c r="AW347" s="5">
        <v>-0.12078093619071301</v>
      </c>
      <c r="AX347" s="5">
        <v>0.114801882406409</v>
      </c>
      <c r="AY347" s="5">
        <v>-1.3325749961005899E-2</v>
      </c>
      <c r="AZ347" s="5">
        <v>-4.3534584595199897E-2</v>
      </c>
      <c r="BA347" s="5">
        <v>0.123890229710167</v>
      </c>
      <c r="BB347" s="5">
        <v>-8.8376030916354806E-2</v>
      </c>
      <c r="BC347" s="5">
        <v>0.290829819826391</v>
      </c>
      <c r="BD347" s="5">
        <v>-0.21178642749190399</v>
      </c>
      <c r="BE347" s="5">
        <v>0.28783252842169499</v>
      </c>
      <c r="BF347" s="5">
        <v>7.6812645283961201E-2</v>
      </c>
      <c r="BG347" s="5">
        <v>6.1609887393452703E-2</v>
      </c>
      <c r="BH347" s="5">
        <v>-7.8565565146878999E-2</v>
      </c>
      <c r="BI347" s="5">
        <v>0.23542486315043201</v>
      </c>
      <c r="BJ347" s="5">
        <v>-9.1952396068789494E-2</v>
      </c>
      <c r="BK347" s="5">
        <v>-0.119488560374909</v>
      </c>
      <c r="BL347" s="5">
        <v>-0.175908846842186</v>
      </c>
      <c r="BM347" s="5">
        <v>0.105390833119994</v>
      </c>
      <c r="BN347" s="5">
        <v>-3.4263324078124699E-2</v>
      </c>
      <c r="BO347" s="5">
        <v>-9.9796295150691799E-2</v>
      </c>
      <c r="BP347" s="5">
        <v>-0.17400769625380499</v>
      </c>
      <c r="BQ347" s="5">
        <v>0.122518239414978</v>
      </c>
      <c r="BR347" s="5">
        <v>-3.3276950629624401E-2</v>
      </c>
      <c r="BS347" s="5">
        <v>0.162148270540065</v>
      </c>
      <c r="BT347" s="5">
        <v>4.5933890814315401E-3</v>
      </c>
      <c r="BU347" s="5">
        <v>0.16487142119008</v>
      </c>
      <c r="BV347" s="5">
        <v>-5.3932429732849304E-3</v>
      </c>
      <c r="BW347" s="5">
        <v>0.150501972424293</v>
      </c>
      <c r="BX347" s="5">
        <v>-2.04255082042555E-2</v>
      </c>
      <c r="BY347" s="5">
        <v>0.14385492874111</v>
      </c>
      <c r="BZ347" s="5">
        <v>6.28399713062648E-2</v>
      </c>
      <c r="CA347" s="5">
        <v>5.41560915337101E-2</v>
      </c>
      <c r="CB347" s="5">
        <v>0.28118349029963402</v>
      </c>
      <c r="CC347" s="5">
        <v>-0.18821670996693499</v>
      </c>
      <c r="CD347" s="5">
        <v>-0.23485037601162201</v>
      </c>
      <c r="CE347" s="5">
        <v>0.30386475262854301</v>
      </c>
      <c r="CF347" s="5">
        <v>0.10795649827118101</v>
      </c>
      <c r="CG347" s="5">
        <v>-4.6719633625957602E-2</v>
      </c>
      <c r="CH347" s="5">
        <v>0.38756839287678102</v>
      </c>
      <c r="CI347" s="5">
        <v>-0.38003997401171202</v>
      </c>
      <c r="CJ347" s="5">
        <v>0.104607332711268</v>
      </c>
      <c r="CK347" s="5">
        <v>1.2431462828633199E-2</v>
      </c>
      <c r="CL347" s="5">
        <v>-9.2966422797574694E-2</v>
      </c>
      <c r="CM347" s="5">
        <v>5.2192856937832002E-2</v>
      </c>
      <c r="CN347" s="5">
        <v>-8.2188718467105695E-2</v>
      </c>
      <c r="CO347" s="5">
        <v>4.1901619873138202E-2</v>
      </c>
      <c r="CP347" s="5">
        <v>-0.22380888901231</v>
      </c>
      <c r="CQ347" s="5">
        <v>0.29879862334586299</v>
      </c>
      <c r="CR347" s="5">
        <v>6.9887465659705897E-2</v>
      </c>
      <c r="CS347" s="5">
        <v>9.8273770027333899E-3</v>
      </c>
      <c r="CT347" s="5">
        <v>-4.30646098870862E-2</v>
      </c>
      <c r="CU347" s="5">
        <v>-5.3867499278889997E-3</v>
      </c>
      <c r="CV347" s="5">
        <v>6.2902144858193301E-2</v>
      </c>
      <c r="CW347" s="5">
        <v>1.5037964518398301E-2</v>
      </c>
      <c r="CX347" s="5">
        <v>-4.0599622903019798E-3</v>
      </c>
      <c r="CY347" s="5">
        <v>0.150983283331798</v>
      </c>
      <c r="CZ347" s="5">
        <v>0.13201935823232699</v>
      </c>
      <c r="DA347" s="5">
        <v>-5.4770508250142402E-2</v>
      </c>
      <c r="DB347" s="5">
        <v>0.16017341377630701</v>
      </c>
      <c r="DC347" s="5">
        <v>-4.5789320270824101E-2</v>
      </c>
      <c r="DD347" s="5">
        <v>-0.32169702699312203</v>
      </c>
      <c r="DE347" s="5">
        <v>0.41709580877723901</v>
      </c>
      <c r="DF347" s="5">
        <v>-0.118349308354847</v>
      </c>
      <c r="DG347" s="5">
        <v>0.27397441536633099</v>
      </c>
      <c r="DH347" s="5">
        <v>-7.0605767859759805E-2</v>
      </c>
      <c r="DI347" s="5">
        <v>0.12959967643662701</v>
      </c>
      <c r="DJ347" s="5">
        <v>-0.12094569032056</v>
      </c>
      <c r="DK347" s="5">
        <v>7.2612774324476395E-2</v>
      </c>
      <c r="DL347" s="5">
        <v>-5.3818076426624999E-2</v>
      </c>
      <c r="DM347" s="5">
        <v>0.19337131657775</v>
      </c>
      <c r="DN347" s="5">
        <v>-0.213435959604174</v>
      </c>
      <c r="DO347" s="5">
        <v>0.16595796218785699</v>
      </c>
      <c r="DP347" s="5">
        <v>-4.0951837447265403E-2</v>
      </c>
      <c r="DQ347" s="5">
        <v>0.19482676091905901</v>
      </c>
      <c r="DR347" s="5">
        <v>-7.5489328908794298E-2</v>
      </c>
      <c r="DS347" s="5">
        <v>6.5890707914597405E-2</v>
      </c>
      <c r="DT347" s="5">
        <v>-6.0743035308615002E-2</v>
      </c>
      <c r="DU347" s="5">
        <v>0.152642427031875</v>
      </c>
      <c r="DV347" s="5">
        <v>-1.12682476335369E-2</v>
      </c>
      <c r="DW347" s="5">
        <v>0.12212047567751901</v>
      </c>
      <c r="DX347" s="5">
        <v>-0.175881774200882</v>
      </c>
      <c r="DY347" s="5">
        <v>0.14055133326577501</v>
      </c>
      <c r="DZ347" s="5">
        <v>-6.8535310143908804E-2</v>
      </c>
      <c r="EA347" s="5">
        <v>-4.7617622338824397E-2</v>
      </c>
      <c r="EB347" s="5">
        <v>-5.9453552018007998E-2</v>
      </c>
      <c r="EC347" s="5">
        <v>0.17413833127801501</v>
      </c>
      <c r="ED347" s="5">
        <v>-5.1777271879310499E-2</v>
      </c>
      <c r="EE347" s="5">
        <v>0.18482880810984001</v>
      </c>
      <c r="EF347" s="5">
        <v>7.0566892445375895E-2</v>
      </c>
      <c r="EG347" s="5">
        <v>1.8518308149708299E-2</v>
      </c>
      <c r="EH347" s="5">
        <v>-0.103250595856842</v>
      </c>
      <c r="EI347" s="5">
        <v>0.232429993484702</v>
      </c>
      <c r="EJ347" s="5">
        <v>-0.12310149414712</v>
      </c>
      <c r="EK347" s="5">
        <v>0.23621731572032201</v>
      </c>
      <c r="EL347" s="5">
        <v>5.4694518283239298E-2</v>
      </c>
      <c r="EM347" s="5">
        <v>7.9229457245007795E-2</v>
      </c>
      <c r="EN347" s="5">
        <v>-1.1274318258630201E-2</v>
      </c>
      <c r="EO347" s="5">
        <v>5.3276711447042199E-2</v>
      </c>
      <c r="EP347" s="5">
        <v>-7.9271552999372497E-2</v>
      </c>
      <c r="EQ347" s="5">
        <v>0.13720363399462099</v>
      </c>
      <c r="ER347" s="5">
        <v>0.149815448870488</v>
      </c>
      <c r="ES347" s="5">
        <v>-9.0382144932305203E-2</v>
      </c>
      <c r="ET347" s="5">
        <v>7.6563073573058693E-2</v>
      </c>
      <c r="EU347" s="5">
        <v>2.39888665687665E-2</v>
      </c>
      <c r="EV347" s="5">
        <v>7.7061750912547605E-2</v>
      </c>
      <c r="EW347" s="5">
        <v>2.3823423997401599E-2</v>
      </c>
      <c r="EX347" s="5">
        <v>0.19417930983478601</v>
      </c>
      <c r="EY347" s="5">
        <v>-0.10012345812090299</v>
      </c>
      <c r="EZ347" s="5">
        <v>0.122876807472734</v>
      </c>
      <c r="FA347" s="5">
        <v>-3.3920424126133997E-2</v>
      </c>
      <c r="FB347" s="5">
        <v>-5.1203342418745398E-2</v>
      </c>
      <c r="FC347" s="5">
        <v>2.2759800272537899E-2</v>
      </c>
      <c r="FD347" s="5">
        <v>0.162238935873942</v>
      </c>
      <c r="FE347" s="5">
        <v>-9.9739759390777005E-2</v>
      </c>
      <c r="FF347" s="5">
        <v>-8.6249880970971707E-2</v>
      </c>
      <c r="FG347" s="5">
        <v>6.21912405667258E-2</v>
      </c>
      <c r="FH347" s="5">
        <v>9.2866065045427298E-2</v>
      </c>
      <c r="FI347" s="5">
        <v>6.9146355655505407E-2</v>
      </c>
      <c r="FJ347" s="5">
        <v>-0.110888586499807</v>
      </c>
      <c r="FK347" s="5">
        <v>0.31315126705995999</v>
      </c>
      <c r="FL347" s="5">
        <v>-0.19020595515827601</v>
      </c>
      <c r="FM347" s="5">
        <v>0.14112435693588801</v>
      </c>
      <c r="FN347" s="5">
        <v>-0.39765411271044099</v>
      </c>
      <c r="FO347" s="5">
        <v>0.59603572933167703</v>
      </c>
      <c r="FP347" s="5">
        <v>-0.107291019651789</v>
      </c>
      <c r="FQ347" s="5">
        <v>0.27231058309769901</v>
      </c>
      <c r="FR347" s="5">
        <v>-4.34193926885134E-2</v>
      </c>
      <c r="FS347" s="5">
        <v>-5.0829080969261198E-2</v>
      </c>
      <c r="FT347" s="5">
        <v>0.10632427435875801</v>
      </c>
      <c r="FU347" s="5">
        <v>1.48403629772951E-2</v>
      </c>
      <c r="FV347" s="5">
        <v>-7.7337876984142897E-3</v>
      </c>
      <c r="FW347" s="5">
        <v>1.9907910229478801E-2</v>
      </c>
      <c r="FX347" s="5">
        <v>0.30350801765536001</v>
      </c>
      <c r="FY347" s="5">
        <v>-0.26667533452353498</v>
      </c>
      <c r="FZ347" s="5">
        <v>5.01953434257826E-2</v>
      </c>
      <c r="GA347" s="5">
        <v>7.8696291087130193E-2</v>
      </c>
      <c r="GB347" s="5">
        <v>-0.16069828420360399</v>
      </c>
      <c r="GC347" s="5">
        <v>0.19494534971716501</v>
      </c>
      <c r="GD347" s="5">
        <v>0.119913266384943</v>
      </c>
      <c r="GE347" s="5">
        <v>-0.206732795653426</v>
      </c>
      <c r="GF347" s="5">
        <v>3.6180988031968002E-2</v>
      </c>
      <c r="GG347" s="5">
        <v>0.15609942508864399</v>
      </c>
      <c r="GH347" s="5">
        <v>0.102307217476555</v>
      </c>
      <c r="GI347" s="5">
        <v>-0.268063442057354</v>
      </c>
      <c r="GJ347" s="5">
        <v>0.20113608082293</v>
      </c>
      <c r="GK347" s="5">
        <v>-0.135410241602335</v>
      </c>
      <c r="GL347" s="5">
        <v>2.5526642362822601E-2</v>
      </c>
      <c r="GM347" s="5">
        <v>9.54885486822315E-2</v>
      </c>
      <c r="GN347" s="5">
        <v>-0.13949080001453501</v>
      </c>
      <c r="GO347" s="5">
        <v>0.207567654008426</v>
      </c>
      <c r="GP347" s="5">
        <v>-0.171503526167049</v>
      </c>
      <c r="GQ347" s="5">
        <v>0.36927456407784198</v>
      </c>
      <c r="GR347" s="5">
        <v>0.10083953758981</v>
      </c>
      <c r="GS347" s="5">
        <v>-1.6223153007597298E-2</v>
      </c>
      <c r="GT347" s="5">
        <v>1.55269095319799E-2</v>
      </c>
      <c r="GU347" s="5">
        <v>3.3957056160392803E-2</v>
      </c>
      <c r="GV347" s="5">
        <v>4.8360074275349801E-2</v>
      </c>
      <c r="GW347" s="5">
        <v>5.5208002435080297E-2</v>
      </c>
      <c r="GX347" s="5">
        <v>8.6727172003232406E-2</v>
      </c>
      <c r="GY347" s="5">
        <v>1.2970298124705799E-2</v>
      </c>
      <c r="GZ347" s="5">
        <v>-0.16721878316293201</v>
      </c>
      <c r="HA347" s="5">
        <v>9.7985130629671194E-2</v>
      </c>
      <c r="HB347" s="5">
        <v>0.20069964661723499</v>
      </c>
      <c r="HC347" s="5">
        <v>-8.0699058100955401E-2</v>
      </c>
      <c r="HD347" s="5">
        <v>-0.13962097981320201</v>
      </c>
      <c r="HE347" s="5">
        <v>0.159908684305343</v>
      </c>
      <c r="HF347" s="5">
        <v>-0.14206939728863699</v>
      </c>
      <c r="HG347" s="5">
        <v>0.10003071757323199</v>
      </c>
      <c r="HH347" s="5">
        <v>-0.100004700909522</v>
      </c>
      <c r="HI347" s="5">
        <v>6.8272183267376593E-2</v>
      </c>
      <c r="HJ347" s="5">
        <v>-0.127326575302634</v>
      </c>
      <c r="HK347" s="5">
        <v>8.0689684870554501E-2</v>
      </c>
      <c r="HL347" s="5">
        <v>-5.1033646264766003E-2</v>
      </c>
      <c r="HM347" s="5">
        <v>0.19628740531723801</v>
      </c>
      <c r="HN347" s="5">
        <v>-0.14088802992598801</v>
      </c>
      <c r="HO347" s="5">
        <v>0.11266472822717399</v>
      </c>
      <c r="HP347" s="5">
        <v>0.105997258360345</v>
      </c>
      <c r="HQ347" s="5">
        <v>3.80694629644397E-2</v>
      </c>
      <c r="HR347" s="5">
        <v>0.15111379722507601</v>
      </c>
      <c r="HS347" s="5">
        <v>-0.150913467815004</v>
      </c>
      <c r="HT347" s="5">
        <v>-0.13840893002320101</v>
      </c>
      <c r="HU347" s="5">
        <v>0.122638900723295</v>
      </c>
      <c r="HV347" s="5">
        <v>-0.147028467271279</v>
      </c>
      <c r="HW347" s="5">
        <v>0.268021678019913</v>
      </c>
      <c r="HX347" s="5">
        <v>8.2338984555792596E-2</v>
      </c>
      <c r="HY347" s="5">
        <v>8.8240168601520202E-2</v>
      </c>
      <c r="HZ347" s="5">
        <v>-0.138033001355061</v>
      </c>
      <c r="IA347" s="5">
        <v>8.4598305852819897E-2</v>
      </c>
      <c r="IB347" s="5">
        <v>-1.3781733948836999E-2</v>
      </c>
      <c r="IC347" s="5">
        <v>-9.2223301008355602E-2</v>
      </c>
      <c r="ID347" s="5">
        <v>7.2906494651507905E-2</v>
      </c>
      <c r="IE347" s="5">
        <v>0.115099917109677</v>
      </c>
      <c r="IF347" s="5">
        <v>-0.13897707489410599</v>
      </c>
      <c r="IG347" s="5">
        <v>0.30764895640421502</v>
      </c>
      <c r="IH347" s="5">
        <v>3.8594885718017599E-2</v>
      </c>
      <c r="II347" s="5">
        <v>4.0110870623161897E-2</v>
      </c>
      <c r="IJ347" s="5">
        <v>0.29994593921846602</v>
      </c>
      <c r="IK347" s="5">
        <v>-0.23863721258494699</v>
      </c>
      <c r="IL347" s="5">
        <v>-0.16233694993780001</v>
      </c>
      <c r="IM347" s="5">
        <v>0.38861644271846801</v>
      </c>
      <c r="IN347" s="5">
        <v>3.9760886723340903E-3</v>
      </c>
      <c r="IO347" s="5">
        <v>0.19956569714384401</v>
      </c>
      <c r="IP347" s="5">
        <v>0.10099012954551601</v>
      </c>
      <c r="IQ347" s="5">
        <v>3.1417098189445498E-2</v>
      </c>
      <c r="IR347" s="5">
        <v>0.100673613894353</v>
      </c>
      <c r="IS347" s="5">
        <v>2.7570958406492499E-2</v>
      </c>
      <c r="IT347" s="5">
        <v>1.30664813885955E-3</v>
      </c>
      <c r="IU347" s="5">
        <v>0.10801782689388099</v>
      </c>
      <c r="IV347" s="5">
        <v>-3.7444350537469202E-2</v>
      </c>
      <c r="IW347" s="5">
        <v>0.18023336870232301</v>
      </c>
      <c r="IX347" s="5">
        <v>5.4454325357090001E-2</v>
      </c>
      <c r="IY347" s="5">
        <v>3.70997206715949E-2</v>
      </c>
      <c r="IZ347" s="5">
        <v>-4.8002425976733702E-2</v>
      </c>
      <c r="JA347" s="5">
        <v>9.9528905751234895E-3</v>
      </c>
      <c r="JB347" s="5">
        <v>-0.20449408391364299</v>
      </c>
      <c r="JC347" s="5">
        <v>0.151610830041876</v>
      </c>
      <c r="JD347" s="5">
        <v>-0.25274011602086299</v>
      </c>
      <c r="JE347" s="5">
        <v>0.43175491626499102</v>
      </c>
      <c r="JF347" s="5">
        <v>0.20664159702579599</v>
      </c>
      <c r="JG347" s="5">
        <v>-0.138766840265412</v>
      </c>
      <c r="JH347" s="5">
        <v>-5.4062167153206497E-2</v>
      </c>
      <c r="JI347" s="5">
        <v>-1.9199300761460099E-2</v>
      </c>
      <c r="JJ347" s="5">
        <v>-0.10123336198478</v>
      </c>
      <c r="JK347" s="5">
        <v>0.33313683090513901</v>
      </c>
      <c r="JL347" s="5">
        <v>-0.28193959334119401</v>
      </c>
      <c r="JM347" s="5">
        <v>0.47517140399943603</v>
      </c>
      <c r="JN347" s="5">
        <v>9.2621645297815997E-2</v>
      </c>
      <c r="JO347" s="5">
        <v>-2.09858960687846E-2</v>
      </c>
      <c r="JP347" s="5">
        <v>0.149171346215249</v>
      </c>
      <c r="JQ347" s="5">
        <v>-4.1148503766393701E-2</v>
      </c>
      <c r="JR347" s="5">
        <v>0.25545638200827803</v>
      </c>
      <c r="JS347" s="5">
        <v>-0.115630150842982</v>
      </c>
      <c r="JT347" s="5">
        <v>0.13154956137006699</v>
      </c>
      <c r="JU347" s="5">
        <v>-8.8976066936453197E-4</v>
      </c>
      <c r="JV347" s="5">
        <v>2.0086300646621501E-2</v>
      </c>
      <c r="JW347" s="5">
        <v>0.17984181079401501</v>
      </c>
      <c r="JX347" s="5">
        <v>-0.120929765150545</v>
      </c>
      <c r="JY347" s="5">
        <v>8.9094824541061601E-2</v>
      </c>
      <c r="JZ347" s="5">
        <v>7.3121969268333795E-2</v>
      </c>
      <c r="KA347" s="5">
        <v>1.9432896626466301E-2</v>
      </c>
      <c r="KB347" s="5">
        <v>-0.201666084059865</v>
      </c>
      <c r="KC347" s="5">
        <v>0.157411676863421</v>
      </c>
      <c r="KD347" s="5">
        <v>-1.2176668467249799E-2</v>
      </c>
      <c r="KE347" s="5">
        <v>6.6020469138514698E-2</v>
      </c>
      <c r="KF347" s="5">
        <v>6.4247265342676205E-2</v>
      </c>
      <c r="KG347" s="5">
        <v>5.8509968214282204E-3</v>
      </c>
      <c r="KH347" s="5">
        <v>8.8537768308157197E-2</v>
      </c>
      <c r="KI347" s="5">
        <v>2.9775549253423201E-2</v>
      </c>
      <c r="KJ347" s="5">
        <v>-0.19237703648742699</v>
      </c>
      <c r="KK347" s="5">
        <v>0.431076758378866</v>
      </c>
      <c r="KL347" s="5">
        <v>0.317305251975603</v>
      </c>
      <c r="KM347" s="5">
        <v>-0.34117996213587098</v>
      </c>
      <c r="KN347" s="5">
        <v>-0.15192002160426199</v>
      </c>
      <c r="KO347" s="5">
        <v>0.114945722811322</v>
      </c>
      <c r="KP347" s="5">
        <v>-0.25760397415876701</v>
      </c>
      <c r="KQ347" s="5">
        <v>0.19688234937754301</v>
      </c>
      <c r="KR347" s="5">
        <v>4.6505739560083602E-2</v>
      </c>
      <c r="KS347" s="5">
        <v>4.67837775645287E-2</v>
      </c>
      <c r="KT347" s="5">
        <v>-0.122386711302728</v>
      </c>
      <c r="KU347" s="5">
        <v>0.32729848542961898</v>
      </c>
      <c r="KV347" s="5">
        <v>-0.187507004115255</v>
      </c>
      <c r="KW347" s="5">
        <v>0.33237837204847198</v>
      </c>
      <c r="KX347" s="5">
        <v>-0.109227818391169</v>
      </c>
      <c r="KY347" s="5">
        <v>0.24136098439228701</v>
      </c>
      <c r="KZ347" s="5">
        <v>9.4879807751181294E-2</v>
      </c>
      <c r="LA347" s="5">
        <v>5.2463200393911301E-2</v>
      </c>
      <c r="LB347" s="5">
        <v>-4.5545493092709E-2</v>
      </c>
      <c r="LC347" s="5">
        <v>0.19966169743096701</v>
      </c>
      <c r="LD347" s="5">
        <v>0.21145394925259201</v>
      </c>
      <c r="LE347" s="5">
        <v>-0.161444799633784</v>
      </c>
      <c r="LF347" s="5">
        <v>-7.2935467719167396E-2</v>
      </c>
      <c r="LG347" s="5">
        <v>6.2688664259960503E-2</v>
      </c>
      <c r="LH347" s="5">
        <v>4.1641026186207297E-2</v>
      </c>
      <c r="LI347" s="5">
        <v>0.1219597210791</v>
      </c>
      <c r="LJ347" s="5">
        <v>-0.117647626486155</v>
      </c>
      <c r="LK347" s="5">
        <v>0.10678061930514</v>
      </c>
      <c r="LL347" s="5">
        <v>-6.2031358541656499E-2</v>
      </c>
      <c r="LM347" s="5">
        <v>0.20145697805905399</v>
      </c>
      <c r="LN347" s="5">
        <v>7.8851941093843705E-2</v>
      </c>
      <c r="LO347" s="5">
        <v>4.5423792490638902E-2</v>
      </c>
      <c r="LP347" s="5">
        <v>1.9136452199063601E-2</v>
      </c>
      <c r="LQ347" s="5">
        <v>8.1423538395815301E-2</v>
      </c>
      <c r="LR347" s="5">
        <v>-9.8328772231895303E-2</v>
      </c>
      <c r="LS347" s="5">
        <v>5.5217265292112398E-2</v>
      </c>
      <c r="LT347" s="5">
        <v>-0.104073479630477</v>
      </c>
      <c r="LU347" s="5">
        <v>6.2814425075803898E-2</v>
      </c>
      <c r="LV347" s="5">
        <v>-0.17651217202917299</v>
      </c>
      <c r="LW347" s="5">
        <v>0.12844532411405901</v>
      </c>
      <c r="LX347" s="5">
        <v>-6.00321161555765E-2</v>
      </c>
      <c r="LY347" s="5">
        <v>0.18321947467118199</v>
      </c>
      <c r="LZ347" s="5">
        <v>-8.4558570662129504E-2</v>
      </c>
      <c r="MA347" s="5">
        <v>0.218718584245712</v>
      </c>
      <c r="MB347" s="5">
        <v>-3.4827794488814699E-2</v>
      </c>
      <c r="MC347" s="5">
        <v>0.16164130436943999</v>
      </c>
      <c r="MD347" s="5">
        <v>0.15157013475572001</v>
      </c>
      <c r="ME347" s="5">
        <v>-7.0142903935477702E-2</v>
      </c>
      <c r="MF347" s="5">
        <v>6.1961328860865496E-3</v>
      </c>
      <c r="MG347" s="5">
        <v>-0.174064075214067</v>
      </c>
      <c r="MH347" s="5">
        <v>-0.73037038754653805</v>
      </c>
      <c r="MI347" s="5">
        <v>1</v>
      </c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</row>
    <row r="348" spans="1:389" x14ac:dyDescent="0.45">
      <c r="A348" s="4" t="str">
        <f ca="1">"TLS / beta1dist in "&amp;CELL("address",'damages-1990'!$J$175)</f>
        <v>TLS / beta1dist in '[BHM betas v3pd.xlsx]damages-1990'!$J$175</v>
      </c>
      <c r="B348" s="6">
        <v>3.4117379853585497E-2</v>
      </c>
      <c r="C348" s="5">
        <v>0.238593421877596</v>
      </c>
      <c r="D348" s="5">
        <v>-3.5561438944893602E-2</v>
      </c>
      <c r="E348" s="5">
        <v>0.47126658097100799</v>
      </c>
      <c r="F348" s="5">
        <v>3.3668688900819699E-2</v>
      </c>
      <c r="G348" s="5">
        <v>0.12200672985269299</v>
      </c>
      <c r="H348" s="5">
        <v>-7.8180511622227597E-2</v>
      </c>
      <c r="I348" s="5">
        <v>4.9921903674058403E-2</v>
      </c>
      <c r="J348" s="5">
        <v>0.207461410786067</v>
      </c>
      <c r="K348" s="5">
        <v>0.10978328285938101</v>
      </c>
      <c r="L348" s="5">
        <v>0.186275540129717</v>
      </c>
      <c r="M348" s="5">
        <v>5.2626360727135203E-2</v>
      </c>
      <c r="N348" s="5">
        <v>-0.13039412825403299</v>
      </c>
      <c r="O348" s="5">
        <v>0.103713822957427</v>
      </c>
      <c r="P348" s="5">
        <v>-0.17221471602213601</v>
      </c>
      <c r="Q348" s="5">
        <v>0.36440620154574299</v>
      </c>
      <c r="R348" s="5">
        <v>0.26343486617310702</v>
      </c>
      <c r="S348" s="5">
        <v>0.130500560342764</v>
      </c>
      <c r="T348" s="5">
        <v>-0.169725356239395</v>
      </c>
      <c r="U348" s="5">
        <v>0.20007214759467101</v>
      </c>
      <c r="V348" s="5">
        <v>6.8431746190882395E-2</v>
      </c>
      <c r="W348" s="5">
        <v>0.158752883343284</v>
      </c>
      <c r="X348" s="5">
        <v>-8.2188390687822896E-2</v>
      </c>
      <c r="Y348" s="5">
        <v>0.46435655825723698</v>
      </c>
      <c r="Z348" s="5">
        <v>-0.12436092886510799</v>
      </c>
      <c r="AA348" s="5">
        <v>0.23255537181441899</v>
      </c>
      <c r="AB348" s="5">
        <v>2.1731292591896699E-3</v>
      </c>
      <c r="AC348" s="5">
        <v>0.346957743245978</v>
      </c>
      <c r="AD348" s="5">
        <v>-4.0196988751867002E-2</v>
      </c>
      <c r="AE348" s="5">
        <v>0.38396612294510402</v>
      </c>
      <c r="AF348" s="5">
        <v>6.8532985912375693E-2</v>
      </c>
      <c r="AG348" s="5">
        <v>0.22235947760457</v>
      </c>
      <c r="AH348" s="5">
        <v>-5.6430109194298597E-2</v>
      </c>
      <c r="AI348" s="5">
        <v>0.19097826247477601</v>
      </c>
      <c r="AJ348" s="5">
        <v>0.24377575144496999</v>
      </c>
      <c r="AK348" s="5">
        <v>7.1560118200434994E-2</v>
      </c>
      <c r="AL348" s="5">
        <v>0.28106401376482099</v>
      </c>
      <c r="AM348" s="5">
        <v>-0.103313643666698</v>
      </c>
      <c r="AN348" s="5">
        <v>-0.10158562485431499</v>
      </c>
      <c r="AO348" s="5">
        <v>0.18371572558992899</v>
      </c>
      <c r="AP348" s="5">
        <v>-0.31025425713334998</v>
      </c>
      <c r="AQ348" s="5">
        <v>0.38959530651372998</v>
      </c>
      <c r="AR348" s="5">
        <v>0.27343257642115298</v>
      </c>
      <c r="AS348" s="5">
        <v>-1.0291314767808301E-3</v>
      </c>
      <c r="AT348" s="5">
        <v>0.44163755398356902</v>
      </c>
      <c r="AU348" s="5">
        <v>-0.31590297032662901</v>
      </c>
      <c r="AV348" s="5">
        <v>0.29661907923358399</v>
      </c>
      <c r="AW348" s="5">
        <v>8.8231425389530202E-2</v>
      </c>
      <c r="AX348" s="5">
        <v>0.222419030268278</v>
      </c>
      <c r="AY348" s="5">
        <v>0.171227575090588</v>
      </c>
      <c r="AZ348" s="5">
        <v>1.8695739307934899E-2</v>
      </c>
      <c r="BA348" s="5">
        <v>0.15135398598182601</v>
      </c>
      <c r="BB348" s="5">
        <v>0.11027741339640799</v>
      </c>
      <c r="BC348" s="5">
        <v>0.29842963255154398</v>
      </c>
      <c r="BD348" s="5">
        <v>-2.1701770659218699E-2</v>
      </c>
      <c r="BE348" s="5">
        <v>0.26796476128081698</v>
      </c>
      <c r="BF348" s="5">
        <v>0.22248170895813399</v>
      </c>
      <c r="BG348" s="5">
        <v>7.15285885096376E-2</v>
      </c>
      <c r="BH348" s="5">
        <v>-9.0320054270671708E-3</v>
      </c>
      <c r="BI348" s="5">
        <v>0.41130487941107802</v>
      </c>
      <c r="BJ348" s="5">
        <v>-0.148129335097759</v>
      </c>
      <c r="BK348" s="5">
        <v>-7.1798758710916705E-2</v>
      </c>
      <c r="BL348" s="5">
        <v>-0.16951375628739701</v>
      </c>
      <c r="BM348" s="5">
        <v>0.176395761207913</v>
      </c>
      <c r="BN348" s="5">
        <v>-0.12579183236528099</v>
      </c>
      <c r="BO348" s="5">
        <v>0.13563345069227001</v>
      </c>
      <c r="BP348" s="5">
        <v>-0.13659493686310301</v>
      </c>
      <c r="BQ348" s="5">
        <v>0.153611099576168</v>
      </c>
      <c r="BR348" s="5">
        <v>-7.1774232104950805E-2</v>
      </c>
      <c r="BS348" s="5">
        <v>0.40919747676610502</v>
      </c>
      <c r="BT348" s="5">
        <v>0.116312375109951</v>
      </c>
      <c r="BU348" s="5">
        <v>0.32589993467377298</v>
      </c>
      <c r="BV348" s="5">
        <v>-3.4886961781337503E-2</v>
      </c>
      <c r="BW348" s="5">
        <v>0.45060503991748102</v>
      </c>
      <c r="BX348" s="5">
        <v>1.5821843842472798E-2</v>
      </c>
      <c r="BY348" s="5">
        <v>0.36713547940107899</v>
      </c>
      <c r="BZ348" s="5">
        <v>-4.4940397453702898E-5</v>
      </c>
      <c r="CA348" s="5">
        <v>0.38728942991983201</v>
      </c>
      <c r="CB348" s="5">
        <v>7.6618264826436605E-2</v>
      </c>
      <c r="CC348" s="5">
        <v>0.18385099234555</v>
      </c>
      <c r="CD348" s="5">
        <v>-1.51524960693753E-2</v>
      </c>
      <c r="CE348" s="5">
        <v>0.20649713575919099</v>
      </c>
      <c r="CF348" s="5">
        <v>-1.3504169086315901E-2</v>
      </c>
      <c r="CG348" s="5">
        <v>0.240972139129493</v>
      </c>
      <c r="CH348" s="5">
        <v>0.36869663990541302</v>
      </c>
      <c r="CI348" s="5">
        <v>-0.209333571740312</v>
      </c>
      <c r="CJ348" s="5">
        <v>0.117307444100648</v>
      </c>
      <c r="CK348" s="5">
        <v>8.7796549743806906E-2</v>
      </c>
      <c r="CL348" s="5">
        <v>-0.13495941032811601</v>
      </c>
      <c r="CM348" s="5">
        <v>0.20340235562818801</v>
      </c>
      <c r="CN348" s="5">
        <v>-0.15317941279860001</v>
      </c>
      <c r="CO348" s="5">
        <v>0.24222431517513901</v>
      </c>
      <c r="CP348" s="5">
        <v>-7.2274990519715199E-2</v>
      </c>
      <c r="CQ348" s="5">
        <v>0.28605605212509699</v>
      </c>
      <c r="CR348" s="5">
        <v>-0.10409018916591101</v>
      </c>
      <c r="CS348" s="5">
        <v>0.28878076851420098</v>
      </c>
      <c r="CT348" s="5">
        <v>-0.238606507967144</v>
      </c>
      <c r="CU348" s="5">
        <v>0.29348372381723098</v>
      </c>
      <c r="CV348" s="5">
        <v>-2.3379775454506299E-2</v>
      </c>
      <c r="CW348" s="5">
        <v>0.27590836506694</v>
      </c>
      <c r="CX348" s="5">
        <v>0.169940332890616</v>
      </c>
      <c r="CY348" s="5">
        <v>0.193282397496396</v>
      </c>
      <c r="CZ348" s="5">
        <v>-8.8924847551035593E-2</v>
      </c>
      <c r="DA348" s="5">
        <v>0.44266886464429001</v>
      </c>
      <c r="DB348" s="5">
        <v>0.19346171152736699</v>
      </c>
      <c r="DC348" s="5">
        <v>0.13495190729530299</v>
      </c>
      <c r="DD348" s="5">
        <v>-3.4802282048061697E-2</v>
      </c>
      <c r="DE348" s="5">
        <v>0.31195515303360999</v>
      </c>
      <c r="DF348" s="5">
        <v>0.14141653740287299</v>
      </c>
      <c r="DG348" s="5">
        <v>0.15489856962832799</v>
      </c>
      <c r="DH348" s="5">
        <v>7.0982237811695506E-2</v>
      </c>
      <c r="DI348" s="5">
        <v>0.17841757721569099</v>
      </c>
      <c r="DJ348" s="5">
        <v>-0.35629637335793402</v>
      </c>
      <c r="DK348" s="5">
        <v>0.401763549005624</v>
      </c>
      <c r="DL348" s="5">
        <v>-2.0998931719817E-2</v>
      </c>
      <c r="DM348" s="5">
        <v>0.38497029204748801</v>
      </c>
      <c r="DN348" s="5">
        <v>-0.426928974389509</v>
      </c>
      <c r="DO348" s="5">
        <v>0.40569699196804199</v>
      </c>
      <c r="DP348" s="5">
        <v>0.41682691657224102</v>
      </c>
      <c r="DQ348" s="5">
        <v>-0.256645669770318</v>
      </c>
      <c r="DR348" s="5">
        <v>-2.31850797337022E-2</v>
      </c>
      <c r="DS348" s="5">
        <v>0.16414895595809001</v>
      </c>
      <c r="DT348" s="5">
        <v>0.10758232454972</v>
      </c>
      <c r="DU348" s="5">
        <v>5.20923020432493E-2</v>
      </c>
      <c r="DV348" s="5">
        <v>-3.7008666129158797E-2</v>
      </c>
      <c r="DW348" s="5">
        <v>0.35702129275758598</v>
      </c>
      <c r="DX348" s="5">
        <v>-0.181165768225199</v>
      </c>
      <c r="DY348" s="5">
        <v>0.24109642749219701</v>
      </c>
      <c r="DZ348" s="5">
        <v>-0.14900418894023301</v>
      </c>
      <c r="EA348" s="5">
        <v>0.188129642903338</v>
      </c>
      <c r="EB348" s="5">
        <v>-5.2373434791811002E-2</v>
      </c>
      <c r="EC348" s="5">
        <v>0.407691971406205</v>
      </c>
      <c r="ED348" s="5">
        <v>-1.28307093514766E-2</v>
      </c>
      <c r="EE348" s="5">
        <v>0.37355870132998797</v>
      </c>
      <c r="EF348" s="5">
        <v>-0.149038265983445</v>
      </c>
      <c r="EG348" s="5">
        <v>0.32569301805879303</v>
      </c>
      <c r="EH348" s="5">
        <v>3.5288312695114503E-2</v>
      </c>
      <c r="EI348" s="5">
        <v>0.329901073067428</v>
      </c>
      <c r="EJ348" s="5">
        <v>2.4000065481670201E-2</v>
      </c>
      <c r="EK348" s="5">
        <v>0.340208673233237</v>
      </c>
      <c r="EL348" s="5">
        <v>9.6332628477562798E-2</v>
      </c>
      <c r="EM348" s="5">
        <v>0.28616550994517698</v>
      </c>
      <c r="EN348" s="5">
        <v>0.19243942602099701</v>
      </c>
      <c r="EO348" s="5">
        <v>-4.4497735990941499E-2</v>
      </c>
      <c r="EP348" s="5">
        <v>7.9906044792785694E-2</v>
      </c>
      <c r="EQ348" s="5">
        <v>0.10756808805991901</v>
      </c>
      <c r="ER348" s="5">
        <v>0.250886326637632</v>
      </c>
      <c r="ES348" s="5">
        <v>7.7497254741863697E-2</v>
      </c>
      <c r="ET348" s="5">
        <v>8.1597785413375395E-2</v>
      </c>
      <c r="EU348" s="5">
        <v>0.23715881979336001</v>
      </c>
      <c r="EV348" s="5">
        <v>3.2972698133478098E-2</v>
      </c>
      <c r="EW348" s="5">
        <v>0.29920863460668501</v>
      </c>
      <c r="EX348" s="5">
        <v>0.171347620411201</v>
      </c>
      <c r="EY348" s="5">
        <v>0.123449583237426</v>
      </c>
      <c r="EZ348" s="5">
        <v>0.165013374963451</v>
      </c>
      <c r="FA348" s="5">
        <v>0.190065741170032</v>
      </c>
      <c r="FB348" s="5">
        <v>-1.6394238163797498E-2</v>
      </c>
      <c r="FC348" s="5">
        <v>0.152624345517032</v>
      </c>
      <c r="FD348" s="5">
        <v>6.0718021499331802E-2</v>
      </c>
      <c r="FE348" s="5">
        <v>0.228143389890582</v>
      </c>
      <c r="FF348" s="5">
        <v>-5.3402882517431097E-2</v>
      </c>
      <c r="FG348" s="5">
        <v>0.16777364161383801</v>
      </c>
      <c r="FH348" s="5">
        <v>0.51795638580464698</v>
      </c>
      <c r="FI348" s="5">
        <v>-0.36344095260577403</v>
      </c>
      <c r="FJ348" s="5">
        <v>0.11018190356468401</v>
      </c>
      <c r="FK348" s="5">
        <v>0.23560564679478899</v>
      </c>
      <c r="FL348" s="5">
        <v>-3.4039392471312199E-2</v>
      </c>
      <c r="FM348" s="5">
        <v>6.3176847967015698E-2</v>
      </c>
      <c r="FN348" s="5">
        <v>0.127800975104048</v>
      </c>
      <c r="FO348" s="5">
        <v>0.14421603183878601</v>
      </c>
      <c r="FP348" s="5">
        <v>0.21201895031027401</v>
      </c>
      <c r="FQ348" s="5">
        <v>2.6871494011692702E-2</v>
      </c>
      <c r="FR348" s="5">
        <v>0.24786411041010201</v>
      </c>
      <c r="FS348" s="5">
        <v>-0.37147167363195999</v>
      </c>
      <c r="FT348" s="5">
        <v>9.59578889372215E-2</v>
      </c>
      <c r="FU348" s="5">
        <v>0.215074691182706</v>
      </c>
      <c r="FV348" s="5">
        <v>7.0983259714907099E-2</v>
      </c>
      <c r="FW348" s="5">
        <v>0.11143516689874799</v>
      </c>
      <c r="FX348" s="5">
        <v>-2.1963666394556498E-2</v>
      </c>
      <c r="FY348" s="5">
        <v>0.29104593959263297</v>
      </c>
      <c r="FZ348" s="5">
        <v>0.102854333021748</v>
      </c>
      <c r="GA348" s="5">
        <v>0.22896192412222399</v>
      </c>
      <c r="GB348" s="5">
        <v>-8.0628176276390004E-2</v>
      </c>
      <c r="GC348" s="5">
        <v>0.28790477571312501</v>
      </c>
      <c r="GD348" s="5">
        <v>-0.18331467377822899</v>
      </c>
      <c r="GE348" s="5">
        <v>0.23537999316834901</v>
      </c>
      <c r="GF348" s="5">
        <v>0.106700244982874</v>
      </c>
      <c r="GG348" s="5">
        <v>0.29877531677688601</v>
      </c>
      <c r="GH348" s="5">
        <v>0.100088505909569</v>
      </c>
      <c r="GI348" s="5">
        <v>-0.26815883019293002</v>
      </c>
      <c r="GJ348" s="5">
        <v>8.8326876625321099E-2</v>
      </c>
      <c r="GK348" s="5">
        <v>0.23861739846122401</v>
      </c>
      <c r="GL348" s="5">
        <v>-0.141709901390624</v>
      </c>
      <c r="GM348" s="5">
        <v>0.31362808544804899</v>
      </c>
      <c r="GN348" s="5">
        <v>1.55659130344077E-2</v>
      </c>
      <c r="GO348" s="5">
        <v>0.193950967451398</v>
      </c>
      <c r="GP348" s="5">
        <v>0.21331016395406999</v>
      </c>
      <c r="GQ348" s="5">
        <v>6.1341364176590599E-2</v>
      </c>
      <c r="GR348" s="5">
        <v>4.5042398054387402E-2</v>
      </c>
      <c r="GS348" s="5">
        <v>0.28167589596284898</v>
      </c>
      <c r="GT348" s="5">
        <v>2.2627770221452199E-2</v>
      </c>
      <c r="GU348" s="5">
        <v>0.21219955008069299</v>
      </c>
      <c r="GV348" s="5">
        <v>7.1378409756942096E-2</v>
      </c>
      <c r="GW348" s="5">
        <v>0.25990863266199699</v>
      </c>
      <c r="GX348" s="5">
        <v>0.21297120210877901</v>
      </c>
      <c r="GY348" s="5">
        <v>6.63709990002877E-2</v>
      </c>
      <c r="GZ348" s="5">
        <v>-0.166595074764471</v>
      </c>
      <c r="HA348" s="5">
        <v>0.17216278510015101</v>
      </c>
      <c r="HB348" s="5">
        <v>0.169187515479293</v>
      </c>
      <c r="HC348" s="5">
        <v>0.198740445814866</v>
      </c>
      <c r="HD348" s="5">
        <v>1.2045424061581E-4</v>
      </c>
      <c r="HE348" s="5">
        <v>0.27427085587377897</v>
      </c>
      <c r="HF348" s="5">
        <v>-0.29767281258188799</v>
      </c>
      <c r="HG348" s="5">
        <v>0.36317804315556901</v>
      </c>
      <c r="HH348" s="5">
        <v>-0.13841577154547499</v>
      </c>
      <c r="HI348" s="5">
        <v>0.233364462395136</v>
      </c>
      <c r="HJ348" s="5">
        <v>-0.33615992884011697</v>
      </c>
      <c r="HK348" s="5">
        <v>0.38990067590623301</v>
      </c>
      <c r="HL348" s="5">
        <v>5.5374533542776397E-2</v>
      </c>
      <c r="HM348" s="5">
        <v>0.272763896109319</v>
      </c>
      <c r="HN348" s="5">
        <v>-0.136178760602128</v>
      </c>
      <c r="HO348" s="5">
        <v>0.272512249104639</v>
      </c>
      <c r="HP348" s="5">
        <v>0.21625237297709299</v>
      </c>
      <c r="HQ348" s="5">
        <v>0.21650542675081699</v>
      </c>
      <c r="HR348" s="5">
        <v>0.23997282690722699</v>
      </c>
      <c r="HS348" s="5">
        <v>0.14153297356241201</v>
      </c>
      <c r="HT348" s="5">
        <v>-6.7532872141739295E-2</v>
      </c>
      <c r="HU348" s="5">
        <v>0.18968672342995599</v>
      </c>
      <c r="HV348" s="5">
        <v>0.16352830284578501</v>
      </c>
      <c r="HW348" s="5">
        <v>0.20518939532498101</v>
      </c>
      <c r="HX348" s="5">
        <v>0.102014234281851</v>
      </c>
      <c r="HY348" s="5">
        <v>0.29476484635163303</v>
      </c>
      <c r="HZ348" s="5">
        <v>-0.124416200861257</v>
      </c>
      <c r="IA348" s="5">
        <v>0.18277820709152701</v>
      </c>
      <c r="IB348" s="5">
        <v>-0.14965718250209001</v>
      </c>
      <c r="IC348" s="5">
        <v>9.4844748286899497E-2</v>
      </c>
      <c r="ID348" s="5">
        <v>0.116756456387997</v>
      </c>
      <c r="IE348" s="5">
        <v>0.31026732919240901</v>
      </c>
      <c r="IF348" s="5">
        <v>0.22294646744979699</v>
      </c>
      <c r="IG348" s="5">
        <v>0.14611432259057799</v>
      </c>
      <c r="IH348" s="5">
        <v>-7.2224969589445798E-2</v>
      </c>
      <c r="II348" s="5">
        <v>0.26002245263259899</v>
      </c>
      <c r="IJ348" s="5">
        <v>8.0840880616013203E-2</v>
      </c>
      <c r="IK348" s="5">
        <v>8.4129267755795906E-2</v>
      </c>
      <c r="IL348" s="5">
        <v>0.124544900163328</v>
      </c>
      <c r="IM348" s="5">
        <v>0.28378046806625501</v>
      </c>
      <c r="IN348" s="5">
        <v>0.23854812969330499</v>
      </c>
      <c r="IO348" s="5">
        <v>0.111819582640308</v>
      </c>
      <c r="IP348" s="5">
        <v>7.8767993307271494E-2</v>
      </c>
      <c r="IQ348" s="5">
        <v>0.31004513800292</v>
      </c>
      <c r="IR348" s="5">
        <v>0.424638287811889</v>
      </c>
      <c r="IS348" s="5">
        <v>-0.252358778703487</v>
      </c>
      <c r="IT348" s="5">
        <v>0.14889373885207799</v>
      </c>
      <c r="IU348" s="5">
        <v>0.22678606002551299</v>
      </c>
      <c r="IV348" s="5">
        <v>1.5701396832751E-2</v>
      </c>
      <c r="IW348" s="5">
        <v>0.33873338137308001</v>
      </c>
      <c r="IX348" s="5">
        <v>7.1020791415868201E-2</v>
      </c>
      <c r="IY348" s="5">
        <v>0.26804817327073899</v>
      </c>
      <c r="IZ348" s="5">
        <v>-0.15144668171429401</v>
      </c>
      <c r="JA348" s="5">
        <v>0.24401237131419501</v>
      </c>
      <c r="JB348" s="5">
        <v>-0.43738998401740597</v>
      </c>
      <c r="JC348" s="5">
        <v>0.43119371625852598</v>
      </c>
      <c r="JD348" s="5">
        <v>0.112340337283444</v>
      </c>
      <c r="JE348" s="5">
        <v>0.18655865165927901</v>
      </c>
      <c r="JF348" s="5">
        <v>-4.2008310014161297E-2</v>
      </c>
      <c r="JG348" s="5">
        <v>0.249498999005933</v>
      </c>
      <c r="JH348" s="5">
        <v>-8.78439370880406E-2</v>
      </c>
      <c r="JI348" s="5">
        <v>0.177226631230675</v>
      </c>
      <c r="JJ348" s="5">
        <v>9.6568930118424004E-2</v>
      </c>
      <c r="JK348" s="5">
        <v>0.30755800652610299</v>
      </c>
      <c r="JL348" s="5">
        <v>4.3034298938676302E-2</v>
      </c>
      <c r="JM348" s="5">
        <v>0.29762270071010499</v>
      </c>
      <c r="JN348" s="5">
        <v>-6.1786469043331897E-2</v>
      </c>
      <c r="JO348" s="5">
        <v>0.31592020856267999</v>
      </c>
      <c r="JP348" s="5">
        <v>7.4631858204825596E-2</v>
      </c>
      <c r="JQ348" s="5">
        <v>0.36530466082808999</v>
      </c>
      <c r="JR348" s="5">
        <v>0.508797686438348</v>
      </c>
      <c r="JS348" s="5">
        <v>-0.21191736769813699</v>
      </c>
      <c r="JT348" s="5">
        <v>0.43859728617106303</v>
      </c>
      <c r="JU348" s="5">
        <v>-0.24847187999672801</v>
      </c>
      <c r="JV348" s="5">
        <v>0.55337110391966704</v>
      </c>
      <c r="JW348" s="5">
        <v>-0.32848278042822898</v>
      </c>
      <c r="JX348" s="5">
        <v>-0.18123197278465999</v>
      </c>
      <c r="JY348" s="5">
        <v>0.25966696612901602</v>
      </c>
      <c r="JZ348" s="5">
        <v>-0.126367950328578</v>
      </c>
      <c r="KA348" s="5">
        <v>0.31289618974518701</v>
      </c>
      <c r="KB348" s="5">
        <v>-0.35801870524268198</v>
      </c>
      <c r="KC348" s="5">
        <v>0.43703397076605299</v>
      </c>
      <c r="KD348" s="5">
        <v>8.4315233882970797E-2</v>
      </c>
      <c r="KE348" s="5">
        <v>0.12743931791272001</v>
      </c>
      <c r="KF348" s="5">
        <v>0.33732159465295197</v>
      </c>
      <c r="KG348" s="5">
        <v>-0.18010719753630899</v>
      </c>
      <c r="KH348" s="5">
        <v>9.6036496413045E-2</v>
      </c>
      <c r="KI348" s="5">
        <v>0.19666247128692399</v>
      </c>
      <c r="KJ348" s="5">
        <v>0.22717904316203699</v>
      </c>
      <c r="KK348" s="5">
        <v>9.2529927413869006E-2</v>
      </c>
      <c r="KL348" s="5">
        <v>0.244302356739932</v>
      </c>
      <c r="KM348" s="5">
        <v>-6.4979925129539803E-2</v>
      </c>
      <c r="KN348" s="5">
        <v>-0.15528605299102799</v>
      </c>
      <c r="KO348" s="5">
        <v>0.26398312690377701</v>
      </c>
      <c r="KP348" s="5">
        <v>-0.23453905738144201</v>
      </c>
      <c r="KQ348" s="5">
        <v>0.229383010871655</v>
      </c>
      <c r="KR348" s="5">
        <v>-6.5752687956276507E-2</v>
      </c>
      <c r="KS348" s="5">
        <v>0.42549468643874599</v>
      </c>
      <c r="KT348" s="5">
        <v>5.7320034236508902E-2</v>
      </c>
      <c r="KU348" s="5">
        <v>0.31299625174987999</v>
      </c>
      <c r="KV348" s="5">
        <v>-3.2049945261988802E-2</v>
      </c>
      <c r="KW348" s="5">
        <v>0.39474754050587602</v>
      </c>
      <c r="KX348" s="5">
        <v>2.2062774781090401E-2</v>
      </c>
      <c r="KY348" s="5">
        <v>0.350286719496055</v>
      </c>
      <c r="KZ348" s="5">
        <v>0.20268385598330599</v>
      </c>
      <c r="LA348" s="5">
        <v>5.3263349398596001E-3</v>
      </c>
      <c r="LB348" s="5">
        <v>0.173075936944766</v>
      </c>
      <c r="LC348" s="5">
        <v>0.18947555691294701</v>
      </c>
      <c r="LD348" s="5">
        <v>0.15030234159775499</v>
      </c>
      <c r="LE348" s="5">
        <v>0.18738622820110401</v>
      </c>
      <c r="LF348" s="5">
        <v>-1.5563834204427199E-2</v>
      </c>
      <c r="LG348" s="5">
        <v>0.164725101537777</v>
      </c>
      <c r="LH348" s="5">
        <v>9.87150480073158E-2</v>
      </c>
      <c r="LI348" s="5">
        <v>0.293754123376545</v>
      </c>
      <c r="LJ348" s="5">
        <v>-5.2727664679369603E-2</v>
      </c>
      <c r="LK348" s="5">
        <v>0.18732547962746901</v>
      </c>
      <c r="LL348" s="5">
        <v>6.9967498017646707E-2</v>
      </c>
      <c r="LM348" s="5">
        <v>0.26103582400094599</v>
      </c>
      <c r="LN348" s="5">
        <v>-1.0589362614996999E-2</v>
      </c>
      <c r="LO348" s="5">
        <v>0.33116846278269502</v>
      </c>
      <c r="LP348" s="5">
        <v>5.58197129768251E-2</v>
      </c>
      <c r="LQ348" s="5">
        <v>0.26913527546718902</v>
      </c>
      <c r="LR348" s="5">
        <v>-0.13873157793110899</v>
      </c>
      <c r="LS348" s="5">
        <v>0.19598530990813401</v>
      </c>
      <c r="LT348" s="5">
        <v>-0.116233436912016</v>
      </c>
      <c r="LU348" s="5">
        <v>0.190415131191426</v>
      </c>
      <c r="LV348" s="5">
        <v>-0.41698510606768602</v>
      </c>
      <c r="LW348" s="5">
        <v>0.40716616607409101</v>
      </c>
      <c r="LX348" s="5">
        <v>9.5398910876869705E-2</v>
      </c>
      <c r="LY348" s="5">
        <v>0.14355865277510399</v>
      </c>
      <c r="LZ348" s="5">
        <v>2.4787249634097501E-2</v>
      </c>
      <c r="MA348" s="5">
        <v>0.36903050039032598</v>
      </c>
      <c r="MB348" s="5">
        <v>-5.0217844473747303E-2</v>
      </c>
      <c r="MC348" s="5">
        <v>0.40913200186291498</v>
      </c>
      <c r="MD348" s="5">
        <v>9.5292558956397794E-2</v>
      </c>
      <c r="ME348" s="5">
        <v>0.21348465921919499</v>
      </c>
      <c r="MF348" s="5">
        <v>0.12784976677722901</v>
      </c>
      <c r="MG348" s="5">
        <v>-0.29657357660983402</v>
      </c>
      <c r="MH348" s="5">
        <v>0.11347867263542501</v>
      </c>
      <c r="MI348" s="5">
        <v>0.118695281017487</v>
      </c>
      <c r="MJ348" s="5">
        <v>1</v>
      </c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</row>
    <row r="349" spans="1:389" x14ac:dyDescent="0.45">
      <c r="A349" s="4" t="str">
        <f ca="1">"TLS / beta2dist in "&amp;CELL("address",'damages-1990'!$K$175)</f>
        <v>TLS / beta2dist in '[BHM betas v3pd.xlsx]damages-1990'!$K$175</v>
      </c>
      <c r="B349" s="6">
        <v>2.27647776943283E-2</v>
      </c>
      <c r="C349" s="5">
        <v>-0.102174056235757</v>
      </c>
      <c r="D349" s="5">
        <v>0.26740123389171899</v>
      </c>
      <c r="E349" s="5">
        <v>-0.51573631633737904</v>
      </c>
      <c r="F349" s="5">
        <v>3.1425556200968999E-2</v>
      </c>
      <c r="G349" s="5">
        <v>-8.0153536090053407E-2</v>
      </c>
      <c r="H349" s="5">
        <v>1.26639421470526E-2</v>
      </c>
      <c r="I349" s="5">
        <v>-8.2820218500368002E-3</v>
      </c>
      <c r="J349" s="5">
        <v>-4.5448748968766599E-2</v>
      </c>
      <c r="K349" s="5">
        <v>-8.4716629939990601E-2</v>
      </c>
      <c r="L349" s="5">
        <v>-2.7976109482182002E-2</v>
      </c>
      <c r="M349" s="5">
        <v>-6.0706588283898903E-2</v>
      </c>
      <c r="N349" s="5">
        <v>0.12839486826735499</v>
      </c>
      <c r="O349" s="5">
        <v>-0.109990135125486</v>
      </c>
      <c r="P349" s="5">
        <v>0.23675739830839901</v>
      </c>
      <c r="Q349" s="5">
        <v>-0.31429199673450903</v>
      </c>
      <c r="R349" s="5">
        <v>-8.58556831944636E-2</v>
      </c>
      <c r="S349" s="5">
        <v>-0.120569984146969</v>
      </c>
      <c r="T349" s="5">
        <v>9.9899284737047997E-2</v>
      </c>
      <c r="U349" s="5">
        <v>-0.13400074627448499</v>
      </c>
      <c r="V349" s="5">
        <v>1.6063144949888E-2</v>
      </c>
      <c r="W349" s="5">
        <v>-6.8279690172224197E-2</v>
      </c>
      <c r="X349" s="5">
        <v>0.31290150659461802</v>
      </c>
      <c r="Y349" s="5">
        <v>-0.52049482923466694</v>
      </c>
      <c r="Z349" s="5">
        <v>0.107867325948518</v>
      </c>
      <c r="AA349" s="5">
        <v>-0.174140360244638</v>
      </c>
      <c r="AB349" s="5">
        <v>0.16144207086815099</v>
      </c>
      <c r="AC349" s="5">
        <v>-0.35450917156400702</v>
      </c>
      <c r="AD349" s="5">
        <v>0.16944873751019601</v>
      </c>
      <c r="AE349" s="5">
        <v>-0.348384900034519</v>
      </c>
      <c r="AF349" s="5">
        <v>7.30042881755575E-2</v>
      </c>
      <c r="AG349" s="5">
        <v>-0.20049040737433399</v>
      </c>
      <c r="AH349" s="5">
        <v>0.11241906053745999</v>
      </c>
      <c r="AI349" s="5">
        <v>-0.16265331712876699</v>
      </c>
      <c r="AJ349" s="5">
        <v>-7.3581826431149494E-2</v>
      </c>
      <c r="AK349" s="5">
        <v>-5.9211690397831002E-2</v>
      </c>
      <c r="AL349" s="5">
        <v>-5.5889942349159699E-2</v>
      </c>
      <c r="AM349" s="5">
        <v>-3.9812476029034601E-2</v>
      </c>
      <c r="AN349" s="5">
        <v>9.7707812593986407E-2</v>
      </c>
      <c r="AO349" s="5">
        <v>-0.133355861568699</v>
      </c>
      <c r="AP349" s="5">
        <v>0.238524068683554</v>
      </c>
      <c r="AQ349" s="5">
        <v>-0.316131566430495</v>
      </c>
      <c r="AR349" s="5">
        <v>-7.7342448986018303E-2</v>
      </c>
      <c r="AS349" s="5">
        <v>-6.1548335657889398E-2</v>
      </c>
      <c r="AT349" s="5">
        <v>-0.286763135190017</v>
      </c>
      <c r="AU349" s="5">
        <v>0.26509759998379201</v>
      </c>
      <c r="AV349" s="5">
        <v>-9.3990854390010897E-2</v>
      </c>
      <c r="AW349" s="5">
        <v>-0.102516229246904</v>
      </c>
      <c r="AX349" s="5">
        <v>-1.32969103691765E-2</v>
      </c>
      <c r="AY349" s="5">
        <v>-0.20906955740469199</v>
      </c>
      <c r="AZ349" s="5">
        <v>4.2439972847355303E-2</v>
      </c>
      <c r="BA349" s="5">
        <v>-0.101628752241817</v>
      </c>
      <c r="BB349" s="5">
        <v>6.01637879878551E-2</v>
      </c>
      <c r="BC349" s="5">
        <v>-0.26404895950333501</v>
      </c>
      <c r="BD349" s="5">
        <v>3.3148147678122498E-2</v>
      </c>
      <c r="BE349" s="5">
        <v>-0.10834200427559799</v>
      </c>
      <c r="BF349" s="5">
        <v>-4.9754046703995899E-2</v>
      </c>
      <c r="BG349" s="5">
        <v>-7.6629566703407898E-2</v>
      </c>
      <c r="BH349" s="5">
        <v>0.214521457225997</v>
      </c>
      <c r="BI349" s="5">
        <v>-0.42943308044734002</v>
      </c>
      <c r="BJ349" s="5">
        <v>2.7883783080092098E-2</v>
      </c>
      <c r="BK349" s="5">
        <v>0.104004790498813</v>
      </c>
      <c r="BL349" s="5">
        <v>9.3329904647612996E-2</v>
      </c>
      <c r="BM349" s="5">
        <v>-0.119695594414564</v>
      </c>
      <c r="BN349" s="5">
        <v>0.106114926990758</v>
      </c>
      <c r="BO349" s="5">
        <v>-9.0692458297557899E-2</v>
      </c>
      <c r="BP349" s="5">
        <v>7.74553875215412E-2</v>
      </c>
      <c r="BQ349" s="5">
        <v>-6.1753853217336001E-2</v>
      </c>
      <c r="BR349" s="5">
        <v>0.22279520471459299</v>
      </c>
      <c r="BS349" s="5">
        <v>-0.40593756308756601</v>
      </c>
      <c r="BT349" s="5">
        <v>9.4082249946277494E-2</v>
      </c>
      <c r="BU349" s="5">
        <v>-0.34913349511156599</v>
      </c>
      <c r="BV349" s="5">
        <v>0.26965347324849898</v>
      </c>
      <c r="BW349" s="5">
        <v>-0.50583313306122302</v>
      </c>
      <c r="BX349" s="5">
        <v>0.18941684744377499</v>
      </c>
      <c r="BY349" s="5">
        <v>-0.41536576436733902</v>
      </c>
      <c r="BZ349" s="5">
        <v>0.22168598414723401</v>
      </c>
      <c r="CA349" s="5">
        <v>-0.44631222444262703</v>
      </c>
      <c r="CB349" s="5">
        <v>0.14263293507197999</v>
      </c>
      <c r="CC349" s="5">
        <v>-0.26989998190491798</v>
      </c>
      <c r="CD349" s="5">
        <v>7.3118330290703998E-2</v>
      </c>
      <c r="CE349" s="5">
        <v>-0.13324034841187801</v>
      </c>
      <c r="CF349" s="5">
        <v>0.16800890732121601</v>
      </c>
      <c r="CG349" s="5">
        <v>-0.27713333290590503</v>
      </c>
      <c r="CH349" s="5">
        <v>-0.15246419376088199</v>
      </c>
      <c r="CI349" s="5">
        <v>5.8192071223622903E-2</v>
      </c>
      <c r="CJ349" s="5">
        <v>9.9048454911854992E-3</v>
      </c>
      <c r="CK349" s="5">
        <v>-0.105613351228431</v>
      </c>
      <c r="CL349" s="5">
        <v>9.0143317200852502E-2</v>
      </c>
      <c r="CM349" s="5">
        <v>-0.14395883700739801</v>
      </c>
      <c r="CN349" s="5">
        <v>0.12000084127103899</v>
      </c>
      <c r="CO349" s="5">
        <v>-0.18402329681090199</v>
      </c>
      <c r="CP349" s="5">
        <v>0.16051662403851</v>
      </c>
      <c r="CQ349" s="5">
        <v>-0.23931545386629299</v>
      </c>
      <c r="CR349" s="5">
        <v>0.166857767895535</v>
      </c>
      <c r="CS349" s="5">
        <v>-0.22985378070021101</v>
      </c>
      <c r="CT349" s="5">
        <v>0.216416613382623</v>
      </c>
      <c r="CU349" s="5">
        <v>-0.27167760455030798</v>
      </c>
      <c r="CV349" s="5">
        <v>0.12937235853614701</v>
      </c>
      <c r="CW349" s="5">
        <v>-0.270951605805413</v>
      </c>
      <c r="CX349" s="5">
        <v>9.0484767284148906E-3</v>
      </c>
      <c r="CY349" s="5">
        <v>-0.195773252633585</v>
      </c>
      <c r="CZ349" s="5">
        <v>0.32661672345037901</v>
      </c>
      <c r="DA349" s="5">
        <v>-0.53305227385278697</v>
      </c>
      <c r="DB349" s="5">
        <v>-2.4425597990514199E-2</v>
      </c>
      <c r="DC349" s="5">
        <v>-0.10913096461542</v>
      </c>
      <c r="DD349" s="5">
        <v>7.8753375329912806E-2</v>
      </c>
      <c r="DE349" s="5">
        <v>-0.20387999113724201</v>
      </c>
      <c r="DF349" s="5">
        <v>-1.5637233064920299E-2</v>
      </c>
      <c r="DG349" s="5">
        <v>-0.11904119114522201</v>
      </c>
      <c r="DH349" s="5">
        <v>2.3029614082572501E-2</v>
      </c>
      <c r="DI349" s="5">
        <v>-0.12796358862040999</v>
      </c>
      <c r="DJ349" s="5">
        <v>0.28566387090590001</v>
      </c>
      <c r="DK349" s="5">
        <v>-0.34392527682867402</v>
      </c>
      <c r="DL349" s="5">
        <v>0.188381836684168</v>
      </c>
      <c r="DM349" s="5">
        <v>-0.36798231725560498</v>
      </c>
      <c r="DN349" s="5">
        <v>0.30815563838649901</v>
      </c>
      <c r="DO349" s="5">
        <v>-0.322494437190256</v>
      </c>
      <c r="DP349" s="5">
        <v>-0.25310307693180001</v>
      </c>
      <c r="DQ349" s="5">
        <v>0.22543704637409101</v>
      </c>
      <c r="DR349" s="5">
        <v>5.01537361441508E-2</v>
      </c>
      <c r="DS349" s="5">
        <v>-0.107720329315799</v>
      </c>
      <c r="DT349" s="5">
        <v>6.0903338764148104E-3</v>
      </c>
      <c r="DU349" s="5">
        <v>-6.7930562438688405E-2</v>
      </c>
      <c r="DV349" s="5">
        <v>0.20014050256329399</v>
      </c>
      <c r="DW349" s="5">
        <v>-0.38621659697202698</v>
      </c>
      <c r="DX349" s="5">
        <v>0.103250494345642</v>
      </c>
      <c r="DY349" s="5">
        <v>-0.14050360729938499</v>
      </c>
      <c r="DZ349" s="5">
        <v>0.158240104188245</v>
      </c>
      <c r="EA349" s="5">
        <v>-0.19569101855049301</v>
      </c>
      <c r="EB349" s="5">
        <v>0.21493507494220901</v>
      </c>
      <c r="EC349" s="5">
        <v>-0.41055594082302799</v>
      </c>
      <c r="ED349" s="5">
        <v>0.190795809347652</v>
      </c>
      <c r="EE349" s="5">
        <v>-0.37272732349738202</v>
      </c>
      <c r="EF349" s="5">
        <v>0.205068498943309</v>
      </c>
      <c r="EG349" s="5">
        <v>-0.26857772489038201</v>
      </c>
      <c r="EH349" s="5">
        <v>0.12565875714983299</v>
      </c>
      <c r="EI349" s="5">
        <v>-0.30391290531825599</v>
      </c>
      <c r="EJ349" s="5">
        <v>0.16713136347326901</v>
      </c>
      <c r="EK349" s="5">
        <v>-0.34329168621165201</v>
      </c>
      <c r="EL349" s="5">
        <v>0.14718640200118199</v>
      </c>
      <c r="EM349" s="5">
        <v>-0.37461884840191401</v>
      </c>
      <c r="EN349" s="5">
        <v>-7.6939248111000294E-2</v>
      </c>
      <c r="EO349" s="5">
        <v>4.0434923783332202E-2</v>
      </c>
      <c r="EP349" s="5">
        <v>-1.9336871917080101E-2</v>
      </c>
      <c r="EQ349" s="5">
        <v>-5.6719857178879798E-2</v>
      </c>
      <c r="ER349" s="5">
        <v>-5.7148274163665601E-2</v>
      </c>
      <c r="ES349" s="5">
        <v>-0.12170306487987199</v>
      </c>
      <c r="ET349" s="5">
        <v>9.3517125698639306E-2</v>
      </c>
      <c r="EU349" s="5">
        <v>-0.28243405576879799</v>
      </c>
      <c r="EV349" s="5">
        <v>0.13237856970006801</v>
      </c>
      <c r="EW349" s="5">
        <v>-0.32775516973712698</v>
      </c>
      <c r="EX349" s="5">
        <v>-4.82203388014797E-3</v>
      </c>
      <c r="EY349" s="5">
        <v>-0.16684215275611899</v>
      </c>
      <c r="EZ349" s="5">
        <v>5.6897355947675898E-3</v>
      </c>
      <c r="FA349" s="5">
        <v>-0.20845841383356101</v>
      </c>
      <c r="FB349" s="5">
        <v>6.8778640325522694E-2</v>
      </c>
      <c r="FC349" s="5">
        <v>-0.118842734684699</v>
      </c>
      <c r="FD349" s="5">
        <v>0.104698737639565</v>
      </c>
      <c r="FE349" s="5">
        <v>-0.27795416410386897</v>
      </c>
      <c r="FF349" s="5">
        <v>8.7622501033664896E-2</v>
      </c>
      <c r="FG349" s="5">
        <v>-0.13443606455866799</v>
      </c>
      <c r="FH349" s="5">
        <v>-0.32578997212822403</v>
      </c>
      <c r="FI349" s="5">
        <v>0.34494011266644797</v>
      </c>
      <c r="FJ349" s="5">
        <v>4.5008239277733599E-2</v>
      </c>
      <c r="FK349" s="5">
        <v>-0.18407779227764001</v>
      </c>
      <c r="FL349" s="5">
        <v>-5.2838291968312898E-2</v>
      </c>
      <c r="FM349" s="5">
        <v>5.3512398345028897E-2</v>
      </c>
      <c r="FN349" s="5">
        <v>-4.4406810035619504E-3</v>
      </c>
      <c r="FO349" s="5">
        <v>-8.3808272604061207E-2</v>
      </c>
      <c r="FP349" s="5">
        <v>-5.6224648616820597E-2</v>
      </c>
      <c r="FQ349" s="5">
        <v>-5.5644350369552604E-3</v>
      </c>
      <c r="FR349" s="5">
        <v>-0.30153433048126699</v>
      </c>
      <c r="FS349" s="5">
        <v>0.41796432584117899</v>
      </c>
      <c r="FT349" s="5">
        <v>8.4768934384167993E-2</v>
      </c>
      <c r="FU349" s="5">
        <v>-0.217098393947253</v>
      </c>
      <c r="FV349" s="5">
        <v>2.6068503798523001E-2</v>
      </c>
      <c r="FW349" s="5">
        <v>-9.0393512342501106E-2</v>
      </c>
      <c r="FX349" s="5">
        <v>0.239144463773906</v>
      </c>
      <c r="FY349" s="5">
        <v>-0.40080918682924899</v>
      </c>
      <c r="FZ349" s="5">
        <v>8.4529198398449301E-2</v>
      </c>
      <c r="GA349" s="5">
        <v>-0.22335677183651301</v>
      </c>
      <c r="GB349" s="5">
        <v>0.11276594763641699</v>
      </c>
      <c r="GC349" s="5">
        <v>-0.205377225286133</v>
      </c>
      <c r="GD349" s="5">
        <v>0.15156065831013599</v>
      </c>
      <c r="GE349" s="5">
        <v>-0.20481220555039001</v>
      </c>
      <c r="GF349" s="5">
        <v>9.0489425233505297E-2</v>
      </c>
      <c r="GG349" s="5">
        <v>-0.31168868007100498</v>
      </c>
      <c r="GH349" s="5">
        <v>-0.18674815018751001</v>
      </c>
      <c r="GI349" s="5">
        <v>0.30493359945069498</v>
      </c>
      <c r="GJ349" s="5">
        <v>0.136723984720377</v>
      </c>
      <c r="GK349" s="5">
        <v>-0.34720097114903098</v>
      </c>
      <c r="GL349" s="5">
        <v>0.180591348712279</v>
      </c>
      <c r="GM349" s="5">
        <v>-0.24241499372639499</v>
      </c>
      <c r="GN349" s="5">
        <v>3.2270450965183599E-2</v>
      </c>
      <c r="GO349" s="5">
        <v>-0.113158511628327</v>
      </c>
      <c r="GP349" s="5">
        <v>-5.5061024380881701E-2</v>
      </c>
      <c r="GQ349" s="5">
        <v>-3.8849500310286299E-2</v>
      </c>
      <c r="GR349" s="5">
        <v>0.16494683798397999</v>
      </c>
      <c r="GS349" s="5">
        <v>-0.36871654266396298</v>
      </c>
      <c r="GT349" s="5">
        <v>0.12899944054239099</v>
      </c>
      <c r="GU349" s="5">
        <v>-0.21517043893915899</v>
      </c>
      <c r="GV349" s="5">
        <v>9.2305155438162395E-2</v>
      </c>
      <c r="GW349" s="5">
        <v>-0.28273607114114102</v>
      </c>
      <c r="GX349" s="5">
        <v>-5.5192775843944497E-2</v>
      </c>
      <c r="GY349" s="5">
        <v>-7.1045664708114395E-2</v>
      </c>
      <c r="GZ349" s="5">
        <v>8.7992516417296607E-2</v>
      </c>
      <c r="HA349" s="5">
        <v>-0.11169863416784</v>
      </c>
      <c r="HB349" s="5">
        <v>6.0353152347759897E-2</v>
      </c>
      <c r="HC349" s="5">
        <v>-0.26680416893254599</v>
      </c>
      <c r="HD349" s="5">
        <v>3.6097406702428697E-2</v>
      </c>
      <c r="HE349" s="5">
        <v>-0.13105239514446301</v>
      </c>
      <c r="HF349" s="5">
        <v>0.224903701939967</v>
      </c>
      <c r="HG349" s="5">
        <v>-0.29318848379178702</v>
      </c>
      <c r="HH349" s="5">
        <v>0.109708117549489</v>
      </c>
      <c r="HI349" s="5">
        <v>-0.17218504811580901</v>
      </c>
      <c r="HJ349" s="5">
        <v>0.26852280775320703</v>
      </c>
      <c r="HK349" s="5">
        <v>-0.33280427932089901</v>
      </c>
      <c r="HL349" s="5">
        <v>9.73584816140977E-2</v>
      </c>
      <c r="HM349" s="5">
        <v>-0.24941697177927399</v>
      </c>
      <c r="HN349" s="5">
        <v>0.160654498103044</v>
      </c>
      <c r="HO349" s="5">
        <v>-0.23263595696479999</v>
      </c>
      <c r="HP349" s="5">
        <v>2.3917938600287101E-2</v>
      </c>
      <c r="HQ349" s="5">
        <v>-0.28778891253626299</v>
      </c>
      <c r="HR349" s="5">
        <v>-2.58977232479779E-3</v>
      </c>
      <c r="HS349" s="5">
        <v>-0.239029718207588</v>
      </c>
      <c r="HT349" s="5">
        <v>9.3270367427527798E-2</v>
      </c>
      <c r="HU349" s="5">
        <v>-0.13558089485226299</v>
      </c>
      <c r="HV349" s="5">
        <v>-2.79150745518346E-2</v>
      </c>
      <c r="HW349" s="5">
        <v>-0.17134827364251401</v>
      </c>
      <c r="HX349" s="5">
        <v>8.1583108521367798E-2</v>
      </c>
      <c r="HY349" s="5">
        <v>-0.301257121043573</v>
      </c>
      <c r="HZ349" s="5">
        <v>0.102622848862921</v>
      </c>
      <c r="IA349" s="5">
        <v>-0.131583447817299</v>
      </c>
      <c r="IB349" s="5">
        <v>7.3314919517032007E-2</v>
      </c>
      <c r="IC349" s="5">
        <v>-6.1225692862807303E-2</v>
      </c>
      <c r="ID349" s="5">
        <v>0.110019659963168</v>
      </c>
      <c r="IE349" s="5">
        <v>-0.34674328434044399</v>
      </c>
      <c r="IF349" s="5">
        <v>-8.3751984846846705E-2</v>
      </c>
      <c r="IG349" s="5">
        <v>-9.9290952967499596E-2</v>
      </c>
      <c r="IH349" s="5">
        <v>0.148770566279047</v>
      </c>
      <c r="II349" s="5">
        <v>-0.21463123385052199</v>
      </c>
      <c r="IJ349" s="5">
        <v>9.8132724110276501E-2</v>
      </c>
      <c r="IK349" s="5">
        <v>-0.211070653390656</v>
      </c>
      <c r="IL349" s="5">
        <v>9.0228937153568098E-2</v>
      </c>
      <c r="IM349" s="5">
        <v>-0.31833090691346</v>
      </c>
      <c r="IN349" s="5">
        <v>-3.2659749245160498E-2</v>
      </c>
      <c r="IO349" s="5">
        <v>-0.13258364383436699</v>
      </c>
      <c r="IP349" s="5">
        <v>0.111987631858164</v>
      </c>
      <c r="IQ349" s="5">
        <v>-0.30733502915979</v>
      </c>
      <c r="IR349" s="5">
        <v>-0.264077606048569</v>
      </c>
      <c r="IS349" s="5">
        <v>0.22806186600020101</v>
      </c>
      <c r="IT349" s="5">
        <v>7.8523694661089705E-3</v>
      </c>
      <c r="IU349" s="5">
        <v>-0.21325771490991399</v>
      </c>
      <c r="IV349" s="5">
        <v>0.127274817313071</v>
      </c>
      <c r="IW349" s="5">
        <v>-0.32261067450741798</v>
      </c>
      <c r="IX349" s="5">
        <v>7.18602358598074E-2</v>
      </c>
      <c r="IY349" s="5">
        <v>-0.27312726846093999</v>
      </c>
      <c r="IZ349" s="5">
        <v>0.14576111417764701</v>
      </c>
      <c r="JA349" s="5">
        <v>-0.20838970241594601</v>
      </c>
      <c r="JB349" s="5">
        <v>0.31597610679063098</v>
      </c>
      <c r="JC349" s="5">
        <v>-0.35348768551910298</v>
      </c>
      <c r="JD349" s="5">
        <v>-5.6521453633629197E-2</v>
      </c>
      <c r="JE349" s="5">
        <v>-2.3173126843625099E-2</v>
      </c>
      <c r="JF349" s="5">
        <v>0.14934676302715799</v>
      </c>
      <c r="JG349" s="5">
        <v>-0.28297393658591602</v>
      </c>
      <c r="JH349" s="5">
        <v>0.17514688923412899</v>
      </c>
      <c r="JI349" s="5">
        <v>-0.24155501488959999</v>
      </c>
      <c r="JJ349" s="5">
        <v>7.0693623697585597E-2</v>
      </c>
      <c r="JK349" s="5">
        <v>-0.25881572983784201</v>
      </c>
      <c r="JL349" s="5">
        <v>0.10215636837582801</v>
      </c>
      <c r="JM349" s="5">
        <v>-0.25128301728990599</v>
      </c>
      <c r="JN349" s="5">
        <v>0.25578028964784</v>
      </c>
      <c r="JO349" s="5">
        <v>-0.37108387764792</v>
      </c>
      <c r="JP349" s="5">
        <v>0.17313524766230801</v>
      </c>
      <c r="JQ349" s="5">
        <v>-0.421259402536175</v>
      </c>
      <c r="JR349" s="5">
        <v>-0.34795490223256897</v>
      </c>
      <c r="JS349" s="5">
        <v>0.25735507358057902</v>
      </c>
      <c r="JT349" s="5">
        <v>-0.30392059934907101</v>
      </c>
      <c r="JU349" s="5">
        <v>0.243642573760363</v>
      </c>
      <c r="JV349" s="5">
        <v>-0.37560745619378899</v>
      </c>
      <c r="JW349" s="5">
        <v>0.34057065245738499</v>
      </c>
      <c r="JX349" s="5">
        <v>0.13515123347212399</v>
      </c>
      <c r="JY349" s="5">
        <v>-0.19651747722333601</v>
      </c>
      <c r="JZ349" s="5">
        <v>0.18787685404414101</v>
      </c>
      <c r="KA349" s="5">
        <v>-0.257562667455706</v>
      </c>
      <c r="KB349" s="5">
        <v>0.31542475086736899</v>
      </c>
      <c r="KC349" s="5">
        <v>-0.40444079244794301</v>
      </c>
      <c r="KD349" s="5">
        <v>2.3166751538933099E-2</v>
      </c>
      <c r="KE349" s="5">
        <v>-0.109311575231939</v>
      </c>
      <c r="KF349" s="5">
        <v>-0.158681732371005</v>
      </c>
      <c r="KG349" s="5">
        <v>0.114096532047578</v>
      </c>
      <c r="KH349" s="5">
        <v>8.0740396466094197E-2</v>
      </c>
      <c r="KI349" s="5">
        <v>-0.19683642707323201</v>
      </c>
      <c r="KJ349" s="5">
        <v>-6.5717370309660503E-2</v>
      </c>
      <c r="KK349" s="5">
        <v>-7.2273405257097106E-2</v>
      </c>
      <c r="KL349" s="5">
        <v>-7.9563186672525196E-2</v>
      </c>
      <c r="KM349" s="5">
        <v>-3.3136710516778599E-2</v>
      </c>
      <c r="KN349" s="5">
        <v>0.15561943535633499</v>
      </c>
      <c r="KO349" s="5">
        <v>-0.21275616424749999</v>
      </c>
      <c r="KP349" s="5">
        <v>9.9353402183848596E-2</v>
      </c>
      <c r="KQ349" s="5">
        <v>-0.14236745060643499</v>
      </c>
      <c r="KR349" s="5">
        <v>0.28647150577182101</v>
      </c>
      <c r="KS349" s="5">
        <v>-0.48685558501610499</v>
      </c>
      <c r="KT349" s="5">
        <v>0.121526566138495</v>
      </c>
      <c r="KU349" s="5">
        <v>-0.30195297130948301</v>
      </c>
      <c r="KV349" s="5">
        <v>0.15512934768210301</v>
      </c>
      <c r="KW349" s="5">
        <v>-0.33150243137871599</v>
      </c>
      <c r="KX349" s="5">
        <v>0.133292942514076</v>
      </c>
      <c r="KY349" s="5">
        <v>-0.31789059368732703</v>
      </c>
      <c r="KZ349" s="5">
        <v>-6.0993232864950599E-2</v>
      </c>
      <c r="LA349" s="5">
        <v>-2.59324863322264E-2</v>
      </c>
      <c r="LB349" s="5">
        <v>1.2551857916294901E-2</v>
      </c>
      <c r="LC349" s="5">
        <v>-0.197817045244814</v>
      </c>
      <c r="LD349" s="5">
        <v>4.7864946128130498E-2</v>
      </c>
      <c r="LE349" s="5">
        <v>-0.25019288486748498</v>
      </c>
      <c r="LF349" s="5">
        <v>5.4280745617256501E-2</v>
      </c>
      <c r="LG349" s="5">
        <v>-0.106033846580942</v>
      </c>
      <c r="LH349" s="5">
        <v>0.12071492052310499</v>
      </c>
      <c r="LI349" s="5">
        <v>-0.327770010751952</v>
      </c>
      <c r="LJ349" s="5">
        <v>9.1643204640265999E-2</v>
      </c>
      <c r="LK349" s="5">
        <v>-0.141068603301329</v>
      </c>
      <c r="LL349" s="5">
        <v>9.0227614876754306E-2</v>
      </c>
      <c r="LM349" s="5">
        <v>-0.25890575558378998</v>
      </c>
      <c r="LN349" s="5">
        <v>0.223077159417302</v>
      </c>
      <c r="LO349" s="5">
        <v>-0.41190262053316901</v>
      </c>
      <c r="LP349" s="5">
        <v>9.0694555725245804E-2</v>
      </c>
      <c r="LQ349" s="5">
        <v>-0.29440682601274898</v>
      </c>
      <c r="LR349" s="5">
        <v>9.6340686446983403E-2</v>
      </c>
      <c r="LS349" s="5">
        <v>-0.14025637402743801</v>
      </c>
      <c r="LT349" s="5">
        <v>9.31958323457171E-2</v>
      </c>
      <c r="LU349" s="5">
        <v>-0.13094101233848701</v>
      </c>
      <c r="LV349" s="5">
        <v>0.31986736271260802</v>
      </c>
      <c r="LW349" s="5">
        <v>-0.35045974508723099</v>
      </c>
      <c r="LX349" s="5">
        <v>5.4420740478558098E-2</v>
      </c>
      <c r="LY349" s="5">
        <v>-0.12665103595875801</v>
      </c>
      <c r="LZ349" s="5">
        <v>0.15051273848640101</v>
      </c>
      <c r="MA349" s="5">
        <v>-0.37031124284087402</v>
      </c>
      <c r="MB349" s="5">
        <v>0.20618534828691101</v>
      </c>
      <c r="MC349" s="5">
        <v>-0.40890379994689502</v>
      </c>
      <c r="MD349" s="5">
        <v>0.142578294554084</v>
      </c>
      <c r="ME349" s="5">
        <v>-0.340545067580584</v>
      </c>
      <c r="MF349" s="5">
        <v>-0.22027017662975101</v>
      </c>
      <c r="MG349" s="5">
        <v>0.352318495655356</v>
      </c>
      <c r="MH349" s="5">
        <v>-2.6514242924745801E-2</v>
      </c>
      <c r="MI349" s="5">
        <v>-1.4495636076525299E-2</v>
      </c>
      <c r="MJ349" s="5">
        <v>-0.86996173899058404</v>
      </c>
      <c r="MK349" s="5">
        <v>1</v>
      </c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</row>
    <row r="350" spans="1:389" x14ac:dyDescent="0.45">
      <c r="A350" s="4" t="str">
        <f ca="1">"TON / beta1dist in "&amp;CELL("address",'damages-1990'!$J$176)</f>
        <v>TON / beta1dist in '[BHM betas v3pd.xlsx]damages-1990'!$J$176</v>
      </c>
      <c r="B350" s="6">
        <v>0.27486207757168601</v>
      </c>
      <c r="C350" s="5">
        <v>2.43692577559412E-2</v>
      </c>
      <c r="D350" s="5">
        <v>0.29483981484037902</v>
      </c>
      <c r="E350" s="5">
        <v>7.4364137373351902E-2</v>
      </c>
      <c r="F350" s="5">
        <v>0.18526847323415899</v>
      </c>
      <c r="G350" s="5">
        <v>4.0927671666446598E-2</v>
      </c>
      <c r="H350" s="5">
        <v>-9.4343987119185194E-2</v>
      </c>
      <c r="I350" s="5">
        <v>9.2255282493123994E-2</v>
      </c>
      <c r="J350" s="5">
        <v>0.47845849638079802</v>
      </c>
      <c r="K350" s="5">
        <v>-0.17130534401581801</v>
      </c>
      <c r="L350" s="5">
        <v>0.35568795477743698</v>
      </c>
      <c r="M350" s="5">
        <v>-4.4672102621340401E-2</v>
      </c>
      <c r="N350" s="5">
        <v>-0.16917042462524601</v>
      </c>
      <c r="O350" s="5">
        <v>0.24521102317563701</v>
      </c>
      <c r="P350" s="5">
        <v>-3.5226439084788702E-2</v>
      </c>
      <c r="Q350" s="5">
        <v>0.200998124534358</v>
      </c>
      <c r="R350" s="5">
        <v>0.526735837169099</v>
      </c>
      <c r="S350" s="5">
        <v>-0.21031229852432201</v>
      </c>
      <c r="T350" s="5">
        <v>-7.7836653555571095E-2</v>
      </c>
      <c r="U350" s="5">
        <v>0.106935012503573</v>
      </c>
      <c r="V350" s="5">
        <v>0.17180658413590899</v>
      </c>
      <c r="W350" s="5">
        <v>0.19249015185840401</v>
      </c>
      <c r="X350" s="5">
        <v>0.21336770871974201</v>
      </c>
      <c r="Y350" s="5">
        <v>0.13871859877731499</v>
      </c>
      <c r="Z350" s="5">
        <v>4.7519893169574202E-2</v>
      </c>
      <c r="AA350" s="5">
        <v>5.3732908291738199E-2</v>
      </c>
      <c r="AB350" s="5">
        <v>0.39725751781430502</v>
      </c>
      <c r="AC350" s="5">
        <v>-9.6178637771152001E-2</v>
      </c>
      <c r="AD350" s="5">
        <v>0.33242397698398801</v>
      </c>
      <c r="AE350" s="5">
        <v>1.79246358856409E-3</v>
      </c>
      <c r="AF350" s="5">
        <v>0.15570331974378601</v>
      </c>
      <c r="AG350" s="5">
        <v>9.6448036780598295E-2</v>
      </c>
      <c r="AH350" s="5">
        <v>0.10198814595629201</v>
      </c>
      <c r="AI350" s="5">
        <v>0.105754267600639</v>
      </c>
      <c r="AJ350" s="5">
        <v>0.36671317534235898</v>
      </c>
      <c r="AK350" s="5">
        <v>-7.3454935041211603E-2</v>
      </c>
      <c r="AL350" s="5">
        <v>0.21279646700072999</v>
      </c>
      <c r="AM350" s="5">
        <v>-6.0686895272634598E-3</v>
      </c>
      <c r="AN350" s="5">
        <v>-8.6283728884009299E-4</v>
      </c>
      <c r="AO350" s="5">
        <v>0.15812704431938299</v>
      </c>
      <c r="AP350" s="5">
        <v>-4.6843202611978399E-2</v>
      </c>
      <c r="AQ350" s="5">
        <v>8.4551365037274007E-2</v>
      </c>
      <c r="AR350" s="5">
        <v>0.35690846331044002</v>
      </c>
      <c r="AS350" s="5">
        <v>-8.4892664657808606E-2</v>
      </c>
      <c r="AT350" s="5">
        <v>0.22275157138290699</v>
      </c>
      <c r="AU350" s="5">
        <v>-4.9001154979794903E-2</v>
      </c>
      <c r="AV350" s="5">
        <v>0.39328349031134802</v>
      </c>
      <c r="AW350" s="5">
        <v>-3.9880587738113003E-2</v>
      </c>
      <c r="AX350" s="5">
        <v>0.36693518489265398</v>
      </c>
      <c r="AY350" s="5">
        <v>-2.8133297622179301E-3</v>
      </c>
      <c r="AZ350" s="5">
        <v>9.2888052606616298E-2</v>
      </c>
      <c r="BA350" s="5">
        <v>4.5838333077275299E-2</v>
      </c>
      <c r="BB350" s="5">
        <v>0.50226368319991799</v>
      </c>
      <c r="BC350" s="5">
        <v>-0.15085830629741101</v>
      </c>
      <c r="BD350" s="5">
        <v>0.12130062642780599</v>
      </c>
      <c r="BE350" s="5">
        <v>0.186326138346184</v>
      </c>
      <c r="BF350" s="5">
        <v>0.25733491027135402</v>
      </c>
      <c r="BG350" s="5">
        <v>-2.30314164548174E-3</v>
      </c>
      <c r="BH350" s="5">
        <v>0.41519892389907598</v>
      </c>
      <c r="BI350" s="5">
        <v>-6.2232808358963602E-2</v>
      </c>
      <c r="BJ350" s="5">
        <v>-0.33085862463402399</v>
      </c>
      <c r="BK350" s="5">
        <v>0.26509212855341502</v>
      </c>
      <c r="BL350" s="5">
        <v>-9.0862738675806798E-2</v>
      </c>
      <c r="BM350" s="5">
        <v>0.10183979898885</v>
      </c>
      <c r="BN350" s="5">
        <v>-0.17489713553001801</v>
      </c>
      <c r="BO350" s="5">
        <v>0.32614909372286499</v>
      </c>
      <c r="BP350" s="5">
        <v>-5.9183455981576698E-2</v>
      </c>
      <c r="BQ350" s="5">
        <v>0.16074169652135001</v>
      </c>
      <c r="BR350" s="5">
        <v>0.378073236437237</v>
      </c>
      <c r="BS350" s="5">
        <v>-4.5152534233171199E-2</v>
      </c>
      <c r="BT350" s="5">
        <v>0.42747839974346702</v>
      </c>
      <c r="BU350" s="5">
        <v>-7.4902159042944394E-2</v>
      </c>
      <c r="BV350" s="5">
        <v>0.38149881524329299</v>
      </c>
      <c r="BW350" s="5">
        <v>-8.8277198678584495E-3</v>
      </c>
      <c r="BX350" s="5">
        <v>0.47153401596313599</v>
      </c>
      <c r="BY350" s="5">
        <v>-0.128876798535074</v>
      </c>
      <c r="BZ350" s="5">
        <v>0.44440824951920599</v>
      </c>
      <c r="CA350" s="5">
        <v>-9.5310836927219506E-2</v>
      </c>
      <c r="CB350" s="5">
        <v>0.150686540613516</v>
      </c>
      <c r="CC350" s="5">
        <v>8.3129598142914804E-2</v>
      </c>
      <c r="CD350" s="5">
        <v>0.26146312234091001</v>
      </c>
      <c r="CE350" s="5">
        <v>-8.1341759872933406E-2</v>
      </c>
      <c r="CF350" s="5">
        <v>0.149742564310514</v>
      </c>
      <c r="CG350" s="5">
        <v>5.8091434307159198E-2</v>
      </c>
      <c r="CH350" s="5">
        <v>0.23211518956369301</v>
      </c>
      <c r="CI350" s="5">
        <v>-1.09682900192944E-2</v>
      </c>
      <c r="CJ350" s="5">
        <v>0.11305986049401601</v>
      </c>
      <c r="CK350" s="5">
        <v>3.9835743634596299E-2</v>
      </c>
      <c r="CL350" s="5">
        <v>-2.6050171563777199E-2</v>
      </c>
      <c r="CM350" s="5">
        <v>8.7626803573057896E-2</v>
      </c>
      <c r="CN350" s="5">
        <v>1.40287875136666E-2</v>
      </c>
      <c r="CO350" s="5">
        <v>6.5966214135860998E-2</v>
      </c>
      <c r="CP350" s="5">
        <v>0.27272313374330898</v>
      </c>
      <c r="CQ350" s="5">
        <v>-1.12841232811368E-2</v>
      </c>
      <c r="CR350" s="5">
        <v>-1.5865276011876098E-2</v>
      </c>
      <c r="CS350" s="5">
        <v>0.17450591754301401</v>
      </c>
      <c r="CT350" s="5">
        <v>-2.6561859281747899E-2</v>
      </c>
      <c r="CU350" s="5">
        <v>6.0118215875951397E-2</v>
      </c>
      <c r="CV350" s="5">
        <v>0.240756733028859</v>
      </c>
      <c r="CW350" s="5">
        <v>2.5791281679963599E-2</v>
      </c>
      <c r="CX350" s="5">
        <v>0.416248224383238</v>
      </c>
      <c r="CY350" s="5">
        <v>-9.5212531407600803E-2</v>
      </c>
      <c r="CZ350" s="5">
        <v>0.35778033145193699</v>
      </c>
      <c r="DA350" s="5">
        <v>-3.6396855888624201E-2</v>
      </c>
      <c r="DB350" s="5">
        <v>0.30762571863560301</v>
      </c>
      <c r="DC350" s="5">
        <v>1.0951166568611E-2</v>
      </c>
      <c r="DD350" s="5">
        <v>0.24105053081640099</v>
      </c>
      <c r="DE350" s="5">
        <v>6.5806082204752495E-2</v>
      </c>
      <c r="DF350" s="5">
        <v>0.39438848755128098</v>
      </c>
      <c r="DG350" s="5">
        <v>-0.13451962710389201</v>
      </c>
      <c r="DH350" s="5">
        <v>0.26749008386581702</v>
      </c>
      <c r="DI350" s="5">
        <v>-2.2120695110253399E-2</v>
      </c>
      <c r="DJ350" s="5">
        <v>-0.102572912891445</v>
      </c>
      <c r="DK350" s="5">
        <v>9.6731199686967306E-2</v>
      </c>
      <c r="DL350" s="5">
        <v>0.244243353113032</v>
      </c>
      <c r="DM350" s="5">
        <v>9.9234764504676706E-2</v>
      </c>
      <c r="DN350" s="5">
        <v>-0.1373169193647</v>
      </c>
      <c r="DO350" s="5">
        <v>5.5197349961697298E-2</v>
      </c>
      <c r="DP350" s="5">
        <v>0.59388308897657605</v>
      </c>
      <c r="DQ350" s="5">
        <v>-0.33213404769645499</v>
      </c>
      <c r="DR350" s="5">
        <v>0.109049091336734</v>
      </c>
      <c r="DS350" s="5">
        <v>7.1241538215332606E-2</v>
      </c>
      <c r="DT350" s="5">
        <v>0.146535718122736</v>
      </c>
      <c r="DU350" s="5">
        <v>6.1733843594960501E-2</v>
      </c>
      <c r="DV350" s="5">
        <v>0.43987282190451998</v>
      </c>
      <c r="DW350" s="5">
        <v>-0.17086551330630101</v>
      </c>
      <c r="DX350" s="5">
        <v>2.8654707263074401E-2</v>
      </c>
      <c r="DY350" s="5">
        <v>-5.9518429661722999E-3</v>
      </c>
      <c r="DZ350" s="5">
        <v>-9.7696330102118395E-2</v>
      </c>
      <c r="EA350" s="5">
        <v>0.19935730353448999</v>
      </c>
      <c r="EB350" s="5">
        <v>0.42250044650201402</v>
      </c>
      <c r="EC350" s="5">
        <v>-8.0757861289225005E-2</v>
      </c>
      <c r="ED350" s="5">
        <v>0.45578912690248902</v>
      </c>
      <c r="EE350" s="5">
        <v>-9.6438684492492002E-2</v>
      </c>
      <c r="EF350" s="5">
        <v>-4.51131908456903E-2</v>
      </c>
      <c r="EG350" s="5">
        <v>0.19344330173961299</v>
      </c>
      <c r="EH350" s="5">
        <v>0.36827965019986397</v>
      </c>
      <c r="EI350" s="5">
        <v>-7.2427179179536602E-3</v>
      </c>
      <c r="EJ350" s="5">
        <v>0.38279392077666702</v>
      </c>
      <c r="EK350" s="5">
        <v>-1.3233095338451401E-2</v>
      </c>
      <c r="EL350" s="5">
        <v>0.46859267694025403</v>
      </c>
      <c r="EM350" s="5">
        <v>-0.16096405525328</v>
      </c>
      <c r="EN350" s="5">
        <v>0.35220094255302198</v>
      </c>
      <c r="EO350" s="5">
        <v>-0.146881280831824</v>
      </c>
      <c r="EP350" s="5">
        <v>0.17027613125977401</v>
      </c>
      <c r="EQ350" s="5">
        <v>-1.1315947155391399E-2</v>
      </c>
      <c r="ER350" s="5">
        <v>0.36244029981828901</v>
      </c>
      <c r="ES350" s="5">
        <v>-8.0439889315505504E-3</v>
      </c>
      <c r="ET350" s="5">
        <v>0.173805827566758</v>
      </c>
      <c r="EU350" s="5">
        <v>9.9795236093887602E-2</v>
      </c>
      <c r="EV350" s="5">
        <v>0.20752827311650399</v>
      </c>
      <c r="EW350" s="5">
        <v>2.80102660349749E-2</v>
      </c>
      <c r="EX350" s="5">
        <v>0.157390751723259</v>
      </c>
      <c r="EY350" s="5">
        <v>9.3970946694772003E-2</v>
      </c>
      <c r="EZ350" s="5">
        <v>0.27364759748301798</v>
      </c>
      <c r="FA350" s="5">
        <v>4.21665071523337E-2</v>
      </c>
      <c r="FB350" s="5">
        <v>0.108366312261007</v>
      </c>
      <c r="FC350" s="5">
        <v>0.11390788159950301</v>
      </c>
      <c r="FD350" s="5">
        <v>0.2264621498238</v>
      </c>
      <c r="FE350" s="5">
        <v>7.0346099327193601E-2</v>
      </c>
      <c r="FF350" s="5">
        <v>5.3275926723081402E-2</v>
      </c>
      <c r="FG350" s="5">
        <v>0.13556418618007199</v>
      </c>
      <c r="FH350" s="5">
        <v>0.52107732568251797</v>
      </c>
      <c r="FI350" s="5">
        <v>-0.29680460620083998</v>
      </c>
      <c r="FJ350" s="5">
        <v>0.40492134761526599</v>
      </c>
      <c r="FK350" s="5">
        <v>-6.13878736343288E-2</v>
      </c>
      <c r="FL350" s="5">
        <v>9.0892077134105895E-2</v>
      </c>
      <c r="FM350" s="5">
        <v>-4.6593473864974901E-2</v>
      </c>
      <c r="FN350" s="5">
        <v>0.35883756359966401</v>
      </c>
      <c r="FO350" s="5">
        <v>-4.0029530853733897E-2</v>
      </c>
      <c r="FP350" s="5">
        <v>0.33261243131908302</v>
      </c>
      <c r="FQ350" s="5">
        <v>-4.5039976942502301E-2</v>
      </c>
      <c r="FR350" s="5">
        <v>3.2445550410428702E-2</v>
      </c>
      <c r="FS350" s="5">
        <v>-0.16078651453617901</v>
      </c>
      <c r="FT350" s="5">
        <v>0.229948902139295</v>
      </c>
      <c r="FU350" s="5">
        <v>5.4291340579719502E-2</v>
      </c>
      <c r="FV350" s="5">
        <v>0.23441305658158301</v>
      </c>
      <c r="FW350" s="5">
        <v>4.5429211318432899E-3</v>
      </c>
      <c r="FX350" s="5">
        <v>0.12519615513058999</v>
      </c>
      <c r="FY350" s="5">
        <v>0.13467363877219601</v>
      </c>
      <c r="FZ350" s="5">
        <v>0.30390892014813398</v>
      </c>
      <c r="GA350" s="5">
        <v>1.49733033424193E-2</v>
      </c>
      <c r="GB350" s="5">
        <v>0.16070226504662599</v>
      </c>
      <c r="GC350" s="5">
        <v>4.9935085263968601E-2</v>
      </c>
      <c r="GD350" s="5">
        <v>-0.25107445537071799</v>
      </c>
      <c r="GE350" s="5">
        <v>0.32444636845804498</v>
      </c>
      <c r="GF350" s="5">
        <v>0.32951443635425098</v>
      </c>
      <c r="GG350" s="5">
        <v>3.6680622794594301E-3</v>
      </c>
      <c r="GH350" s="5">
        <v>-0.27650850540696198</v>
      </c>
      <c r="GI350" s="5">
        <v>0.27062220054097202</v>
      </c>
      <c r="GJ350" s="5">
        <v>0.27521702770427398</v>
      </c>
      <c r="GK350" s="5">
        <v>-5.99325717472785E-2</v>
      </c>
      <c r="GL350" s="5">
        <v>4.7968225836775902E-2</v>
      </c>
      <c r="GM350" s="5">
        <v>0.10091691991899999</v>
      </c>
      <c r="GN350" s="5">
        <v>0.19134477683446799</v>
      </c>
      <c r="GO350" s="5">
        <v>2.5326209581138001E-2</v>
      </c>
      <c r="GP350" s="5">
        <v>0.338004700568871</v>
      </c>
      <c r="GQ350" s="5">
        <v>-4.1751193702261997E-2</v>
      </c>
      <c r="GR350" s="5">
        <v>0.33723368605639198</v>
      </c>
      <c r="GS350" s="5">
        <v>-0.100412112217245</v>
      </c>
      <c r="GT350" s="5">
        <v>0.22125879279052399</v>
      </c>
      <c r="GU350" s="5">
        <v>7.0927589880896993E-2</v>
      </c>
      <c r="GV350" s="5">
        <v>0.43258182213789498</v>
      </c>
      <c r="GW350" s="5">
        <v>-0.14661679381298601</v>
      </c>
      <c r="GX350" s="5">
        <v>0.31494159452527398</v>
      </c>
      <c r="GY350" s="5">
        <v>-3.3479442398316697E-2</v>
      </c>
      <c r="GZ350" s="5">
        <v>-9.5619933701918E-2</v>
      </c>
      <c r="HA350" s="5">
        <v>0.106511252768949</v>
      </c>
      <c r="HB350" s="5">
        <v>0.38278660209640197</v>
      </c>
      <c r="HC350" s="5">
        <v>-7.9675698788695598E-2</v>
      </c>
      <c r="HD350" s="5">
        <v>0.13993615765748499</v>
      </c>
      <c r="HE350" s="5">
        <v>0.23961134283329699</v>
      </c>
      <c r="HF350" s="5">
        <v>-5.3849054287787801E-2</v>
      </c>
      <c r="HG350" s="5">
        <v>7.6820432754666601E-2</v>
      </c>
      <c r="HH350" s="5">
        <v>2.8949291281137601E-2</v>
      </c>
      <c r="HI350" s="5">
        <v>5.85754275727371E-2</v>
      </c>
      <c r="HJ350" s="5">
        <v>-6.8896354674509497E-2</v>
      </c>
      <c r="HK350" s="5">
        <v>7.8948277185502402E-2</v>
      </c>
      <c r="HL350" s="5">
        <v>0.409107274848028</v>
      </c>
      <c r="HM350" s="5">
        <v>-0.135741351531494</v>
      </c>
      <c r="HN350" s="5">
        <v>4.6301098199133001E-2</v>
      </c>
      <c r="HO350" s="5">
        <v>0.13283700125336301</v>
      </c>
      <c r="HP350" s="5">
        <v>0.15561772045740199</v>
      </c>
      <c r="HQ350" s="5">
        <v>0.26841894877063999</v>
      </c>
      <c r="HR350" s="5">
        <v>0.34027537079192499</v>
      </c>
      <c r="HS350" s="5">
        <v>7.2928521843208902E-2</v>
      </c>
      <c r="HT350" s="5">
        <v>8.5503752682935502E-2</v>
      </c>
      <c r="HU350" s="5">
        <v>0.10986883782595699</v>
      </c>
      <c r="HV350" s="5">
        <v>0.43609214440268002</v>
      </c>
      <c r="HW350" s="5">
        <v>-0.104831618116625</v>
      </c>
      <c r="HX350" s="5">
        <v>0.38476671184322297</v>
      </c>
      <c r="HY350" s="5">
        <v>-5.2431513552760899E-2</v>
      </c>
      <c r="HZ350" s="5">
        <v>-4.4310866400291103E-2</v>
      </c>
      <c r="IA350" s="5">
        <v>0.171809540988695</v>
      </c>
      <c r="IB350" s="5">
        <v>-0.122605939514166</v>
      </c>
      <c r="IC350" s="5">
        <v>9.4127977472600294E-2</v>
      </c>
      <c r="ID350" s="5">
        <v>0.26615784158237399</v>
      </c>
      <c r="IE350" s="5">
        <v>8.0630661205773904E-2</v>
      </c>
      <c r="IF350" s="5">
        <v>0.52706319345371899</v>
      </c>
      <c r="IG350" s="5">
        <v>-0.20415903974909999</v>
      </c>
      <c r="IH350" s="5">
        <v>1.6949527253655301E-2</v>
      </c>
      <c r="II350" s="5">
        <v>0.14168899284119299</v>
      </c>
      <c r="IJ350" s="5">
        <v>0.26613609143133699</v>
      </c>
      <c r="IK350" s="5">
        <v>-8.9513868090832005E-2</v>
      </c>
      <c r="IL350" s="5">
        <v>0.42797417962395601</v>
      </c>
      <c r="IM350" s="5">
        <v>-0.150271787863796</v>
      </c>
      <c r="IN350" s="5">
        <v>0.451378803688948</v>
      </c>
      <c r="IO350" s="5">
        <v>-0.13801085643708999</v>
      </c>
      <c r="IP350" s="5">
        <v>0.29084597367429099</v>
      </c>
      <c r="IQ350" s="5">
        <v>6.0759607042610402E-2</v>
      </c>
      <c r="IR350" s="5">
        <v>0.169058924431088</v>
      </c>
      <c r="IS350" s="5">
        <v>0.10182968208968</v>
      </c>
      <c r="IT350" s="5">
        <v>0.31856505848364203</v>
      </c>
      <c r="IU350" s="5">
        <v>5.0783857218715802E-3</v>
      </c>
      <c r="IV350" s="5">
        <v>0.35211997503721998</v>
      </c>
      <c r="IW350" s="5">
        <v>-7.6104135045638399E-2</v>
      </c>
      <c r="IX350" s="5">
        <v>0.204117834048373</v>
      </c>
      <c r="IY350" s="5">
        <v>5.4323582573447403E-2</v>
      </c>
      <c r="IZ350" s="5">
        <v>4.0459151550310497E-2</v>
      </c>
      <c r="JA350" s="5">
        <v>3.9073529514857597E-2</v>
      </c>
      <c r="JB350" s="5">
        <v>-0.15342898659957699</v>
      </c>
      <c r="JC350" s="5">
        <v>6.7274583606095104E-2</v>
      </c>
      <c r="JD350" s="5">
        <v>0.222439822561559</v>
      </c>
      <c r="JE350" s="5">
        <v>0.13501203001290901</v>
      </c>
      <c r="JF350" s="5">
        <v>0.13831079477599501</v>
      </c>
      <c r="JG350" s="5">
        <v>-2.9546578237477699E-3</v>
      </c>
      <c r="JH350" s="5">
        <v>6.5341644045099701E-3</v>
      </c>
      <c r="JI350" s="5">
        <v>0.127912857918274</v>
      </c>
      <c r="JJ350" s="5">
        <v>0.36527108358906502</v>
      </c>
      <c r="JK350" s="5">
        <v>-4.4265938316377304E-3</v>
      </c>
      <c r="JL350" s="5">
        <v>0.34886184978879797</v>
      </c>
      <c r="JM350" s="5">
        <v>-2.86244517658211E-2</v>
      </c>
      <c r="JN350" s="5">
        <v>0.303961432916241</v>
      </c>
      <c r="JO350" s="5">
        <v>-6.6219229613754593E-2</v>
      </c>
      <c r="JP350" s="5">
        <v>0.37687165924688898</v>
      </c>
      <c r="JQ350" s="5">
        <v>2.7746647281044399E-2</v>
      </c>
      <c r="JR350" s="5">
        <v>0.38214570054504798</v>
      </c>
      <c r="JS350" s="5">
        <v>-5.08160996543131E-2</v>
      </c>
      <c r="JT350" s="5">
        <v>0.12362272752271</v>
      </c>
      <c r="JU350" s="5">
        <v>0.15832160689116401</v>
      </c>
      <c r="JV350" s="5">
        <v>0.52120185182030798</v>
      </c>
      <c r="JW350" s="5">
        <v>-0.30753870164243602</v>
      </c>
      <c r="JX350" s="5">
        <v>-1.6409427969421901E-2</v>
      </c>
      <c r="JY350" s="5">
        <v>7.6454974075492399E-2</v>
      </c>
      <c r="JZ350" s="5">
        <v>8.9053029912912508E-3</v>
      </c>
      <c r="KA350" s="5">
        <v>0.20410118266483901</v>
      </c>
      <c r="KB350" s="5">
        <v>-6.1754495986918997E-2</v>
      </c>
      <c r="KC350" s="5">
        <v>0.121586881045237</v>
      </c>
      <c r="KD350" s="5">
        <v>0.26207153194855498</v>
      </c>
      <c r="KE350" s="5">
        <v>-5.0013097956842299E-2</v>
      </c>
      <c r="KF350" s="5">
        <v>0.42962898897535601</v>
      </c>
      <c r="KG350" s="5">
        <v>-0.20143710849347499</v>
      </c>
      <c r="KH350" s="5">
        <v>0.217393117379347</v>
      </c>
      <c r="KI350" s="5">
        <v>5.53686270035414E-2</v>
      </c>
      <c r="KJ350" s="5">
        <v>0.40770630481113102</v>
      </c>
      <c r="KK350" s="5">
        <v>-0.10870183242083099</v>
      </c>
      <c r="KL350" s="5">
        <v>0.26625006161170001</v>
      </c>
      <c r="KM350" s="5">
        <v>1.15823205153279E-2</v>
      </c>
      <c r="KN350" s="5">
        <v>-3.8341809339195701E-3</v>
      </c>
      <c r="KO350" s="5">
        <v>0.160802241256846</v>
      </c>
      <c r="KP350" s="5">
        <v>-8.4287852674125904E-2</v>
      </c>
      <c r="KQ350" s="5">
        <v>-1.16595515862039E-2</v>
      </c>
      <c r="KR350" s="5">
        <v>0.23331290427838</v>
      </c>
      <c r="KS350" s="5">
        <v>0.119870121584413</v>
      </c>
      <c r="KT350" s="5">
        <v>0.37868569565174798</v>
      </c>
      <c r="KU350" s="5">
        <v>-6.9133018705488394E-2</v>
      </c>
      <c r="KV350" s="5">
        <v>0.27765038875891601</v>
      </c>
      <c r="KW350" s="5">
        <v>6.3961909071218501E-2</v>
      </c>
      <c r="KX350" s="5">
        <v>0.36229282954283998</v>
      </c>
      <c r="KY350" s="5">
        <v>3.69773215448734E-3</v>
      </c>
      <c r="KZ350" s="5">
        <v>0.35284099898287502</v>
      </c>
      <c r="LA350" s="5">
        <v>-0.191573549652475</v>
      </c>
      <c r="LB350" s="5">
        <v>0.45990906432946799</v>
      </c>
      <c r="LC350" s="5">
        <v>-0.15310342482660699</v>
      </c>
      <c r="LD350" s="5">
        <v>0.25018820108185003</v>
      </c>
      <c r="LE350" s="5">
        <v>9.1205550504391594E-2</v>
      </c>
      <c r="LF350" s="5">
        <v>0.112678023266993</v>
      </c>
      <c r="LG350" s="5">
        <v>0.11548849392131801</v>
      </c>
      <c r="LH350" s="5">
        <v>0.222288493283718</v>
      </c>
      <c r="LI350" s="5">
        <v>0.122884101700332</v>
      </c>
      <c r="LJ350" s="5">
        <v>9.3243687830270594E-2</v>
      </c>
      <c r="LK350" s="5">
        <v>0.11480994501321599</v>
      </c>
      <c r="LL350" s="5">
        <v>0.42877338512565599</v>
      </c>
      <c r="LM350" s="5">
        <v>-0.158698112177003</v>
      </c>
      <c r="LN350" s="5">
        <v>0.49291960606151197</v>
      </c>
      <c r="LO350" s="5">
        <v>-0.261521844596037</v>
      </c>
      <c r="LP350" s="5">
        <v>0.17382090385101201</v>
      </c>
      <c r="LQ350" s="5">
        <v>4.9244039775396903E-2</v>
      </c>
      <c r="LR350" s="5">
        <v>-6.07005643310847E-2</v>
      </c>
      <c r="LS350" s="5">
        <v>0.121613566530252</v>
      </c>
      <c r="LT350" s="5">
        <v>-2.4889020715403901E-2</v>
      </c>
      <c r="LU350" s="5">
        <v>0.14770049264561999</v>
      </c>
      <c r="LV350" s="5">
        <v>-0.15618145494371</v>
      </c>
      <c r="LW350" s="5">
        <v>9.3299276094017503E-2</v>
      </c>
      <c r="LX350" s="5">
        <v>0.30708039134834098</v>
      </c>
      <c r="LY350" s="5">
        <v>-1.7706763627455099E-2</v>
      </c>
      <c r="LZ350" s="5">
        <v>0.31178530604816801</v>
      </c>
      <c r="MA350" s="5">
        <v>2.07533537706137E-2</v>
      </c>
      <c r="MB350" s="5">
        <v>0.46389579362058497</v>
      </c>
      <c r="MC350" s="5">
        <v>-0.14444384583453801</v>
      </c>
      <c r="MD350" s="5">
        <v>0.37236410291624</v>
      </c>
      <c r="ME350" s="5">
        <v>-0.15611167720045099</v>
      </c>
      <c r="MF350" s="5">
        <v>-8.9996470072540094E-2</v>
      </c>
      <c r="MG350" s="5">
        <v>0.100491125928018</v>
      </c>
      <c r="MH350" s="5">
        <v>0.39080654504773399</v>
      </c>
      <c r="MI350" s="5">
        <v>-0.12864174010186499</v>
      </c>
      <c r="MJ350" s="5">
        <v>0.32409525726246602</v>
      </c>
      <c r="MK350" s="5">
        <v>-0.20792683562782799</v>
      </c>
      <c r="ML350" s="5">
        <v>1</v>
      </c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</row>
    <row r="351" spans="1:389" x14ac:dyDescent="0.45">
      <c r="A351" s="4" t="str">
        <f ca="1">"TON / beta2dist in "&amp;CELL("address",'damages-1990'!$K$176)</f>
        <v>TON / beta2dist in '[BHM betas v3pd.xlsx]damages-1990'!$K$176</v>
      </c>
      <c r="B351" s="6">
        <v>-0.13214091781153101</v>
      </c>
      <c r="C351" s="5">
        <v>9.3482092540781395E-2</v>
      </c>
      <c r="D351" s="5">
        <v>-6.7005559405027296E-2</v>
      </c>
      <c r="E351" s="5">
        <v>-6.2831142289508701E-2</v>
      </c>
      <c r="F351" s="5">
        <v>-2.71108384953361E-2</v>
      </c>
      <c r="G351" s="5">
        <v>-4.6459684514172699E-2</v>
      </c>
      <c r="H351" s="5">
        <v>0.20386536292113699</v>
      </c>
      <c r="I351" s="5">
        <v>-0.22871514515410499</v>
      </c>
      <c r="J351" s="5">
        <v>-0.37883499514485097</v>
      </c>
      <c r="K351" s="5">
        <v>0.31176444790764202</v>
      </c>
      <c r="L351" s="5">
        <v>-0.26517349668534201</v>
      </c>
      <c r="M351" s="5">
        <v>0.23305062423325501</v>
      </c>
      <c r="N351" s="5">
        <v>0.23111303465335001</v>
      </c>
      <c r="O351" s="5">
        <v>-0.27754228914917001</v>
      </c>
      <c r="P351" s="5">
        <v>0.136661558843682</v>
      </c>
      <c r="Q351" s="5">
        <v>-0.158790496570823</v>
      </c>
      <c r="R351" s="5">
        <v>-0.25855410962416597</v>
      </c>
      <c r="S351" s="5">
        <v>0.14229887630177601</v>
      </c>
      <c r="T351" s="5">
        <v>9.5762522102121606E-2</v>
      </c>
      <c r="U351" s="5">
        <v>-0.11412405088774299</v>
      </c>
      <c r="V351" s="5">
        <v>8.8714800683797196E-3</v>
      </c>
      <c r="W351" s="5">
        <v>-0.15574031531531499</v>
      </c>
      <c r="X351" s="5">
        <v>6.2771426297938193E-2</v>
      </c>
      <c r="Y351" s="5">
        <v>-0.169084782510703</v>
      </c>
      <c r="Z351" s="5">
        <v>6.5877413609521998E-2</v>
      </c>
      <c r="AA351" s="5">
        <v>-9.2331793154109804E-2</v>
      </c>
      <c r="AB351" s="5">
        <v>-0.21533515723612001</v>
      </c>
      <c r="AC351" s="5">
        <v>0.13877986581947099</v>
      </c>
      <c r="AD351" s="5">
        <v>-0.18280563176776801</v>
      </c>
      <c r="AE351" s="5">
        <v>8.0708318913687904E-2</v>
      </c>
      <c r="AF351" s="5">
        <v>-0.101523562790647</v>
      </c>
      <c r="AG351" s="5">
        <v>7.4473198715674996E-2</v>
      </c>
      <c r="AH351" s="5">
        <v>6.0528108910689597E-2</v>
      </c>
      <c r="AI351" s="5">
        <v>-0.14392233866756299</v>
      </c>
      <c r="AJ351" s="5">
        <v>-0.30350691655135098</v>
      </c>
      <c r="AK351" s="5">
        <v>0.23434499998133099</v>
      </c>
      <c r="AL351" s="5">
        <v>-7.0630448552834804E-2</v>
      </c>
      <c r="AM351" s="5">
        <v>-1.5935245669049001E-2</v>
      </c>
      <c r="AN351" s="5">
        <v>8.1690310728493198E-2</v>
      </c>
      <c r="AO351" s="5">
        <v>-0.15140184421203501</v>
      </c>
      <c r="AP351" s="5">
        <v>8.2707108886470093E-2</v>
      </c>
      <c r="AQ351" s="5">
        <v>-0.104804593852347</v>
      </c>
      <c r="AR351" s="5">
        <v>-0.25344031607119599</v>
      </c>
      <c r="AS351" s="5">
        <v>0.15836923350705001</v>
      </c>
      <c r="AT351" s="5">
        <v>-0.15661253752795401</v>
      </c>
      <c r="AU351" s="5">
        <v>0.10743907871873699</v>
      </c>
      <c r="AV351" s="5">
        <v>-0.23308912230967299</v>
      </c>
      <c r="AW351" s="5">
        <v>0.10011716193537799</v>
      </c>
      <c r="AX351" s="5">
        <v>-0.21710585278038799</v>
      </c>
      <c r="AY351" s="5">
        <v>5.9868486105002401E-2</v>
      </c>
      <c r="AZ351" s="5">
        <v>-9.47742967256575E-2</v>
      </c>
      <c r="BA351" s="5">
        <v>0.104171863243653</v>
      </c>
      <c r="BB351" s="5">
        <v>-0.32734953402647299</v>
      </c>
      <c r="BC351" s="5">
        <v>0.22766674368081799</v>
      </c>
      <c r="BD351" s="5">
        <v>-2.3552007327508201E-2</v>
      </c>
      <c r="BE351" s="5">
        <v>-5.6930975800148997E-2</v>
      </c>
      <c r="BF351" s="5">
        <v>-0.14456196382699699</v>
      </c>
      <c r="BG351" s="5">
        <v>8.4312927291247494E-2</v>
      </c>
      <c r="BH351" s="5">
        <v>-0.24494288702766701</v>
      </c>
      <c r="BI351" s="5">
        <v>0.14712930455929699</v>
      </c>
      <c r="BJ351" s="5">
        <v>0.182962163386647</v>
      </c>
      <c r="BK351" s="5">
        <v>-0.17472265315320901</v>
      </c>
      <c r="BL351" s="5">
        <v>0.12275478786270699</v>
      </c>
      <c r="BM351" s="5">
        <v>-0.14572519918878199</v>
      </c>
      <c r="BN351" s="5">
        <v>0.311506762563318</v>
      </c>
      <c r="BO351" s="5">
        <v>-0.41920722044203101</v>
      </c>
      <c r="BP351" s="5">
        <v>8.2087328390495207E-2</v>
      </c>
      <c r="BQ351" s="5">
        <v>-0.13023571211472401</v>
      </c>
      <c r="BR351" s="5">
        <v>-0.18821984047291199</v>
      </c>
      <c r="BS351" s="5">
        <v>0.10583068698839999</v>
      </c>
      <c r="BT351" s="5">
        <v>-0.21590535546061701</v>
      </c>
      <c r="BU351" s="5">
        <v>0.120815715382228</v>
      </c>
      <c r="BV351" s="5">
        <v>-0.15976806857453599</v>
      </c>
      <c r="BW351" s="5">
        <v>3.2142506987936602E-2</v>
      </c>
      <c r="BX351" s="5">
        <v>-0.25411204219509598</v>
      </c>
      <c r="BY351" s="5">
        <v>0.13724729748747</v>
      </c>
      <c r="BZ351" s="5">
        <v>-0.28222692646273601</v>
      </c>
      <c r="CA351" s="5">
        <v>0.13124874948922899</v>
      </c>
      <c r="CB351" s="5">
        <v>9.3915925925270302E-2</v>
      </c>
      <c r="CC351" s="5">
        <v>-0.19040300917928299</v>
      </c>
      <c r="CD351" s="5">
        <v>-0.222048692166295</v>
      </c>
      <c r="CE351" s="5">
        <v>0.169858883367345</v>
      </c>
      <c r="CF351" s="5">
        <v>-7.7497986483277298E-2</v>
      </c>
      <c r="CG351" s="5">
        <v>-8.2150249720899099E-3</v>
      </c>
      <c r="CH351" s="5">
        <v>-6.0757791975364503E-2</v>
      </c>
      <c r="CI351" s="5">
        <v>-3.8341978544190997E-2</v>
      </c>
      <c r="CJ351" s="5">
        <v>0.125296124662299</v>
      </c>
      <c r="CK351" s="5">
        <v>-0.14857448413793101</v>
      </c>
      <c r="CL351" s="5">
        <v>7.0246455811312905E-2</v>
      </c>
      <c r="CM351" s="5">
        <v>-9.3433830756466899E-2</v>
      </c>
      <c r="CN351" s="5">
        <v>7.2243071537854198E-2</v>
      </c>
      <c r="CO351" s="5">
        <v>-9.9152267881960396E-2</v>
      </c>
      <c r="CP351" s="5">
        <v>-0.30847956489975298</v>
      </c>
      <c r="CQ351" s="5">
        <v>0.20954548569242201</v>
      </c>
      <c r="CR351" s="5">
        <v>0.138226443559822</v>
      </c>
      <c r="CS351" s="5">
        <v>-0.13517714364268699</v>
      </c>
      <c r="CT351" s="5">
        <v>0.100315110068773</v>
      </c>
      <c r="CU351" s="5">
        <v>-0.102207500997262</v>
      </c>
      <c r="CV351" s="5">
        <v>-9.4781968442064699E-2</v>
      </c>
      <c r="CW351" s="5">
        <v>-5.9102011112845999E-3</v>
      </c>
      <c r="CX351" s="5">
        <v>-0.304037810680931</v>
      </c>
      <c r="CY351" s="5">
        <v>0.212028052041315</v>
      </c>
      <c r="CZ351" s="5">
        <v>-0.144258766184131</v>
      </c>
      <c r="DA351" s="5">
        <v>-8.0217035191148603E-3</v>
      </c>
      <c r="DB351" s="5">
        <v>-6.9836913169867995E-2</v>
      </c>
      <c r="DC351" s="5">
        <v>-4.40564696807976E-2</v>
      </c>
      <c r="DD351" s="5">
        <v>-0.20452413457688001</v>
      </c>
      <c r="DE351" s="5">
        <v>0.109295676893909</v>
      </c>
      <c r="DF351" s="5">
        <v>-0.350726354295674</v>
      </c>
      <c r="DG351" s="5">
        <v>0.29438360797656099</v>
      </c>
      <c r="DH351" s="5">
        <v>-0.13001097237803899</v>
      </c>
      <c r="DI351" s="5">
        <v>8.3297910649487106E-2</v>
      </c>
      <c r="DJ351" s="5">
        <v>0.12697295577519699</v>
      </c>
      <c r="DK351" s="5">
        <v>-0.12626035752366699</v>
      </c>
      <c r="DL351" s="5">
        <v>-0.10859280714973001</v>
      </c>
      <c r="DM351" s="5">
        <v>2.1290683977833701E-2</v>
      </c>
      <c r="DN351" s="5">
        <v>0.120623938943159</v>
      </c>
      <c r="DO351" s="5">
        <v>-7.1227577384860893E-2</v>
      </c>
      <c r="DP351" s="5">
        <v>-0.51504219599537004</v>
      </c>
      <c r="DQ351" s="5">
        <v>0.52026661914813899</v>
      </c>
      <c r="DR351" s="5">
        <v>3.3332950365860703E-2</v>
      </c>
      <c r="DS351" s="5">
        <v>-9.0624136584777401E-2</v>
      </c>
      <c r="DT351" s="5">
        <v>-0.16488861031287599</v>
      </c>
      <c r="DU351" s="5">
        <v>9.54565856443573E-2</v>
      </c>
      <c r="DV351" s="5">
        <v>-0.19668608611176799</v>
      </c>
      <c r="DW351" s="5">
        <v>0.125005527721997</v>
      </c>
      <c r="DX351" s="5">
        <v>5.00777894292136E-2</v>
      </c>
      <c r="DY351" s="5">
        <v>-1.7126715755496302E-2</v>
      </c>
      <c r="DZ351" s="5">
        <v>0.17236263914223801</v>
      </c>
      <c r="EA351" s="5">
        <v>-0.22447602024727401</v>
      </c>
      <c r="EB351" s="5">
        <v>-0.262467475912259</v>
      </c>
      <c r="EC351" s="5">
        <v>0.151022542952304</v>
      </c>
      <c r="ED351" s="5">
        <v>-0.267185042021507</v>
      </c>
      <c r="EE351" s="5">
        <v>0.160428491537176</v>
      </c>
      <c r="EF351" s="5">
        <v>0.14764149532080201</v>
      </c>
      <c r="EG351" s="5">
        <v>-0.15096214068267999</v>
      </c>
      <c r="EH351" s="5">
        <v>-0.215484617357421</v>
      </c>
      <c r="EI351" s="5">
        <v>9.6896179018386402E-2</v>
      </c>
      <c r="EJ351" s="5">
        <v>-0.201152489092082</v>
      </c>
      <c r="EK351" s="5">
        <v>7.1925997878204098E-2</v>
      </c>
      <c r="EL351" s="5">
        <v>-0.26961494354883397</v>
      </c>
      <c r="EM351" s="5">
        <v>0.195548467604894</v>
      </c>
      <c r="EN351" s="5">
        <v>-0.15475416799602201</v>
      </c>
      <c r="EO351" s="5">
        <v>0.102860271599054</v>
      </c>
      <c r="EP351" s="5">
        <v>-0.15635962995187599</v>
      </c>
      <c r="EQ351" s="5">
        <v>0.133982181067587</v>
      </c>
      <c r="ER351" s="5">
        <v>-0.24985470633190901</v>
      </c>
      <c r="ES351" s="5">
        <v>9.4957569954479001E-2</v>
      </c>
      <c r="ET351" s="5">
        <v>-2.7578683047093398E-2</v>
      </c>
      <c r="EU351" s="5">
        <v>-7.0048943381971096E-2</v>
      </c>
      <c r="EV351" s="5">
        <v>-6.3964913161488404E-2</v>
      </c>
      <c r="EW351" s="5">
        <v>-2.0246472145077399E-2</v>
      </c>
      <c r="EX351" s="5">
        <v>-8.9673578533223899E-2</v>
      </c>
      <c r="EY351" s="5">
        <v>3.3571462797656902E-2</v>
      </c>
      <c r="EZ351" s="5">
        <v>-0.191678573052984</v>
      </c>
      <c r="FA351" s="5">
        <v>7.5619051909880206E-2</v>
      </c>
      <c r="FB351" s="5">
        <v>1.65103751799602E-2</v>
      </c>
      <c r="FC351" s="5">
        <v>-9.1545646638359901E-2</v>
      </c>
      <c r="FD351" s="5">
        <v>-6.4309030991239703E-3</v>
      </c>
      <c r="FE351" s="5">
        <v>-0.112222309457316</v>
      </c>
      <c r="FF351" s="5">
        <v>5.4520152133331903E-2</v>
      </c>
      <c r="FG351" s="5">
        <v>-0.120367835317945</v>
      </c>
      <c r="FH351" s="5">
        <v>-0.35448816993731702</v>
      </c>
      <c r="FI351" s="5">
        <v>0.39560898071936901</v>
      </c>
      <c r="FJ351" s="5">
        <v>-0.26584058870154698</v>
      </c>
      <c r="FK351" s="5">
        <v>0.17595993353038</v>
      </c>
      <c r="FL351" s="5">
        <v>-2.99887913226882E-2</v>
      </c>
      <c r="FM351" s="5">
        <v>6.8351795225980894E-2</v>
      </c>
      <c r="FN351" s="5">
        <v>-0.24249158285442399</v>
      </c>
      <c r="FO351" s="5">
        <v>0.18889967046880601</v>
      </c>
      <c r="FP351" s="5">
        <v>-0.222985326435162</v>
      </c>
      <c r="FQ351" s="5">
        <v>0.16501842674839401</v>
      </c>
      <c r="FR351" s="5">
        <v>1.29306811700052E-2</v>
      </c>
      <c r="FS351" s="5">
        <v>0.122539321719063</v>
      </c>
      <c r="FT351" s="5">
        <v>-7.2862471179779599E-3</v>
      </c>
      <c r="FU351" s="5">
        <v>-7.4802357447982998E-2</v>
      </c>
      <c r="FV351" s="5">
        <v>-7.5903724946964596E-2</v>
      </c>
      <c r="FW351" s="5">
        <v>3.21851748906039E-2</v>
      </c>
      <c r="FX351" s="5">
        <v>6.0687035736999198E-2</v>
      </c>
      <c r="FY351" s="5">
        <v>-0.166480926764462</v>
      </c>
      <c r="FZ351" s="5">
        <v>-8.7878636044178296E-2</v>
      </c>
      <c r="GA351" s="5">
        <v>-7.8632165698784996E-3</v>
      </c>
      <c r="GB351" s="5">
        <v>-2.04755214571598E-2</v>
      </c>
      <c r="GC351" s="5">
        <v>-2.3054346400494401E-2</v>
      </c>
      <c r="GD351" s="5">
        <v>0.352326242545006</v>
      </c>
      <c r="GE351" s="5">
        <v>-0.41575455025757702</v>
      </c>
      <c r="GF351" s="5">
        <v>-9.90785286432736E-2</v>
      </c>
      <c r="GG351" s="5">
        <v>3.3072533492549003E-2</v>
      </c>
      <c r="GH351" s="5">
        <v>0.315033301862158</v>
      </c>
      <c r="GI351" s="5">
        <v>-0.36229350438041702</v>
      </c>
      <c r="GJ351" s="5">
        <v>-0.16636546432145899</v>
      </c>
      <c r="GK351" s="5">
        <v>0.120171725543481</v>
      </c>
      <c r="GL351" s="5">
        <v>-8.6964658519144006E-3</v>
      </c>
      <c r="GM351" s="5">
        <v>2.4691762224691599E-3</v>
      </c>
      <c r="GN351" s="5">
        <v>-4.8585084354917402E-2</v>
      </c>
      <c r="GO351" s="5">
        <v>1.6879241756737599E-2</v>
      </c>
      <c r="GP351" s="5">
        <v>-0.308489066593299</v>
      </c>
      <c r="GQ351" s="5">
        <v>0.24471340510301301</v>
      </c>
      <c r="GR351" s="5">
        <v>-0.218358790446953</v>
      </c>
      <c r="GS351" s="5">
        <v>0.188628822935516</v>
      </c>
      <c r="GT351" s="5">
        <v>-2.4554432817296998E-2</v>
      </c>
      <c r="GU351" s="5">
        <v>-6.3371558821593399E-2</v>
      </c>
      <c r="GV351" s="5">
        <v>-0.15551922463444801</v>
      </c>
      <c r="GW351" s="5">
        <v>0.100325113208394</v>
      </c>
      <c r="GX351" s="5">
        <v>-0.138845355969302</v>
      </c>
      <c r="GY351" s="5">
        <v>5.8074706321171302E-2</v>
      </c>
      <c r="GZ351" s="5">
        <v>0.121708024102679</v>
      </c>
      <c r="HA351" s="5">
        <v>-0.14455395295965001</v>
      </c>
      <c r="HB351" s="5">
        <v>-0.209996308203212</v>
      </c>
      <c r="HC351" s="5">
        <v>0.114373313098123</v>
      </c>
      <c r="HD351" s="5">
        <v>1.8193305576550401E-2</v>
      </c>
      <c r="HE351" s="5">
        <v>-0.16187554780564001</v>
      </c>
      <c r="HF351" s="5">
        <v>8.68392918569212E-2</v>
      </c>
      <c r="HG351" s="5">
        <v>-9.9567305338360501E-2</v>
      </c>
      <c r="HH351" s="5">
        <v>7.9037132771148502E-2</v>
      </c>
      <c r="HI351" s="5">
        <v>-0.107636327370604</v>
      </c>
      <c r="HJ351" s="5">
        <v>9.9553698137933605E-2</v>
      </c>
      <c r="HK351" s="5">
        <v>-0.10817103061055799</v>
      </c>
      <c r="HL351" s="5">
        <v>-0.32461308592663402</v>
      </c>
      <c r="HM351" s="5">
        <v>0.287120197010791</v>
      </c>
      <c r="HN351" s="5">
        <v>7.3662503105629801E-2</v>
      </c>
      <c r="HO351" s="5">
        <v>-0.14713829541999701</v>
      </c>
      <c r="HP351" s="5">
        <v>4.7888194985659403E-2</v>
      </c>
      <c r="HQ351" s="5">
        <v>-0.223624462678428</v>
      </c>
      <c r="HR351" s="5">
        <v>-0.139303505545634</v>
      </c>
      <c r="HS351" s="5">
        <v>-5.7342056358643902E-2</v>
      </c>
      <c r="HT351" s="5">
        <v>5.0434036380770701E-2</v>
      </c>
      <c r="HU351" s="5">
        <v>-0.12580895192299699</v>
      </c>
      <c r="HV351" s="5">
        <v>-0.27763032933175402</v>
      </c>
      <c r="HW351" s="5">
        <v>0.177150838386293</v>
      </c>
      <c r="HX351" s="5">
        <v>-0.20252128774790401</v>
      </c>
      <c r="HY351" s="5">
        <v>0.13483578156539799</v>
      </c>
      <c r="HZ351" s="5">
        <v>0.117445550222194</v>
      </c>
      <c r="IA351" s="5">
        <v>-0.18461036582717999</v>
      </c>
      <c r="IB351" s="5">
        <v>0.12208977802561399</v>
      </c>
      <c r="IC351" s="5">
        <v>-0.123212141986195</v>
      </c>
      <c r="ID351" s="5">
        <v>-3.5642647719012897E-2</v>
      </c>
      <c r="IE351" s="5">
        <v>-9.5726604428016407E-2</v>
      </c>
      <c r="IF351" s="5">
        <v>-0.39934864908465201</v>
      </c>
      <c r="IG351" s="5">
        <v>0.32224811061035302</v>
      </c>
      <c r="IH351" s="5">
        <v>7.7182710295010906E-2</v>
      </c>
      <c r="II351" s="5">
        <v>-7.5743809009275895E-2</v>
      </c>
      <c r="IJ351" s="5">
        <v>-0.100837546290607</v>
      </c>
      <c r="IK351" s="5">
        <v>1.5933970725170901E-2</v>
      </c>
      <c r="IL351" s="5">
        <v>-0.25916522361233602</v>
      </c>
      <c r="IM351" s="5">
        <v>0.20354551064734</v>
      </c>
      <c r="IN351" s="5">
        <v>-0.291207634383993</v>
      </c>
      <c r="IO351" s="5">
        <v>0.24188289949192801</v>
      </c>
      <c r="IP351" s="5">
        <v>-0.10491660428136999</v>
      </c>
      <c r="IQ351" s="5">
        <v>-1.6342622344349401E-2</v>
      </c>
      <c r="IR351" s="5">
        <v>-4.9164066125107403E-2</v>
      </c>
      <c r="IS351" s="5">
        <v>-7.8915100424393703E-2</v>
      </c>
      <c r="IT351" s="5">
        <v>-0.10222582385344101</v>
      </c>
      <c r="IU351" s="5">
        <v>-1.3619062401548599E-3</v>
      </c>
      <c r="IV351" s="5">
        <v>-0.135041076438326</v>
      </c>
      <c r="IW351" s="5">
        <v>8.6962379607199797E-2</v>
      </c>
      <c r="IX351" s="5">
        <v>-0.13579050752164001</v>
      </c>
      <c r="IY351" s="5">
        <v>5.2149853459050502E-2</v>
      </c>
      <c r="IZ351" s="5">
        <v>6.6238791940185199E-2</v>
      </c>
      <c r="JA351" s="5">
        <v>-7.9888432224325803E-2</v>
      </c>
      <c r="JB351" s="5">
        <v>0.136596926193785</v>
      </c>
      <c r="JC351" s="5">
        <v>-9.2784505087717101E-2</v>
      </c>
      <c r="JD351" s="5">
        <v>-7.3536193434044106E-2</v>
      </c>
      <c r="JE351" s="5">
        <v>-6.3655224426958801E-3</v>
      </c>
      <c r="JF351" s="5">
        <v>-3.4875889315511299E-3</v>
      </c>
      <c r="JG351" s="5">
        <v>-1.0659352034853801E-2</v>
      </c>
      <c r="JH351" s="5">
        <v>8.1813835901207402E-2</v>
      </c>
      <c r="JI351" s="5">
        <v>-9.6692223485890197E-2</v>
      </c>
      <c r="JJ351" s="5">
        <v>-0.18769949515228601</v>
      </c>
      <c r="JK351" s="5">
        <v>9.6413451732220601E-2</v>
      </c>
      <c r="JL351" s="5">
        <v>-0.21704583445186401</v>
      </c>
      <c r="JM351" s="5">
        <v>0.13751771319150599</v>
      </c>
      <c r="JN351" s="5">
        <v>-0.136298828213096</v>
      </c>
      <c r="JO351" s="5">
        <v>5.4708000497729101E-2</v>
      </c>
      <c r="JP351" s="5">
        <v>-0.149666406131271</v>
      </c>
      <c r="JQ351" s="5">
        <v>-1.4479338510339401E-2</v>
      </c>
      <c r="JR351" s="5">
        <v>-0.227421248998393</v>
      </c>
      <c r="JS351" s="5">
        <v>0.14402667369076</v>
      </c>
      <c r="JT351" s="5">
        <v>-2.0356774596398199E-2</v>
      </c>
      <c r="JU351" s="5">
        <v>-9.2880986514577699E-2</v>
      </c>
      <c r="JV351" s="5">
        <v>-0.36268325806495</v>
      </c>
      <c r="JW351" s="5">
        <v>0.40511407566678498</v>
      </c>
      <c r="JX351" s="5">
        <v>6.3717691929128906E-2</v>
      </c>
      <c r="JY351" s="5">
        <v>-8.3687806462380901E-2</v>
      </c>
      <c r="JZ351" s="5">
        <v>0.101916158424408</v>
      </c>
      <c r="KA351" s="5">
        <v>-0.16339902713790699</v>
      </c>
      <c r="KB351" s="5">
        <v>0.105962619378907</v>
      </c>
      <c r="KC351" s="5">
        <v>-0.15166418313629201</v>
      </c>
      <c r="KD351" s="5">
        <v>-0.1354498852903</v>
      </c>
      <c r="KE351" s="5">
        <v>7.6027537779696203E-2</v>
      </c>
      <c r="KF351" s="5">
        <v>-0.368737574257335</v>
      </c>
      <c r="KG351" s="5">
        <v>0.331190281201801</v>
      </c>
      <c r="KH351" s="5">
        <v>-9.7150105121662396E-3</v>
      </c>
      <c r="KI351" s="5">
        <v>-5.95103853205603E-2</v>
      </c>
      <c r="KJ351" s="5">
        <v>-0.33084474492841798</v>
      </c>
      <c r="KK351" s="5">
        <v>0.259308461053746</v>
      </c>
      <c r="KL351" s="5">
        <v>-5.1665634625687497E-2</v>
      </c>
      <c r="KM351" s="5">
        <v>-9.0518533375751803E-2</v>
      </c>
      <c r="KN351" s="5">
        <v>0.110032841478581</v>
      </c>
      <c r="KO351" s="5">
        <v>-0.18174389223111001</v>
      </c>
      <c r="KP351" s="5">
        <v>9.4662906846957107E-2</v>
      </c>
      <c r="KQ351" s="5">
        <v>-6.2597860168354502E-2</v>
      </c>
      <c r="KR351" s="5">
        <v>4.0205364454181797E-2</v>
      </c>
      <c r="KS351" s="5">
        <v>-0.13895059493344999</v>
      </c>
      <c r="KT351" s="5">
        <v>-0.27350577362115402</v>
      </c>
      <c r="KU351" s="5">
        <v>0.21440223843998399</v>
      </c>
      <c r="KV351" s="5">
        <v>-9.1727652042824598E-2</v>
      </c>
      <c r="KW351" s="5">
        <v>-1.12284226872158E-2</v>
      </c>
      <c r="KX351" s="5">
        <v>-0.20885272779300201</v>
      </c>
      <c r="KY351" s="5">
        <v>8.77710869522597E-2</v>
      </c>
      <c r="KZ351" s="5">
        <v>-0.219195726082797</v>
      </c>
      <c r="LA351" s="5">
        <v>0.25872293768424898</v>
      </c>
      <c r="LB351" s="5">
        <v>-0.31431209629573298</v>
      </c>
      <c r="LC351" s="5">
        <v>0.252211346307055</v>
      </c>
      <c r="LD351" s="5">
        <v>-0.13200407672935599</v>
      </c>
      <c r="LE351" s="5">
        <v>-3.0520306867469101E-2</v>
      </c>
      <c r="LF351" s="5">
        <v>2.4589871434088299E-2</v>
      </c>
      <c r="LG351" s="5">
        <v>-0.103787344351875</v>
      </c>
      <c r="LH351" s="5">
        <v>-5.96209425863332E-2</v>
      </c>
      <c r="LI351" s="5">
        <v>-4.1027373382176303E-2</v>
      </c>
      <c r="LJ351" s="5">
        <v>3.52459045782978E-2</v>
      </c>
      <c r="LK351" s="5">
        <v>-0.108597894508977</v>
      </c>
      <c r="LL351" s="5">
        <v>-0.30887988365624502</v>
      </c>
      <c r="LM351" s="5">
        <v>0.26168678293685099</v>
      </c>
      <c r="LN351" s="5">
        <v>-0.29510219790472703</v>
      </c>
      <c r="LO351" s="5">
        <v>0.23737419613614499</v>
      </c>
      <c r="LP351" s="5">
        <v>-5.6785953994902501E-2</v>
      </c>
      <c r="LQ351" s="5">
        <v>-1.5122176348750901E-2</v>
      </c>
      <c r="LR351" s="5">
        <v>9.6031296390985899E-2</v>
      </c>
      <c r="LS351" s="5">
        <v>-0.12219806812819101</v>
      </c>
      <c r="LT351" s="5">
        <v>8.7224019134467701E-2</v>
      </c>
      <c r="LU351" s="5">
        <v>-0.136277391805184</v>
      </c>
      <c r="LV351" s="5">
        <v>0.16724058004119299</v>
      </c>
      <c r="LW351" s="5">
        <v>-0.14150670392236001</v>
      </c>
      <c r="LX351" s="5">
        <v>-0.136392163511727</v>
      </c>
      <c r="LY351" s="5">
        <v>6.5111537498021496E-2</v>
      </c>
      <c r="LZ351" s="5">
        <v>-0.11853666686875</v>
      </c>
      <c r="MA351" s="5">
        <v>1.5278899432380101E-2</v>
      </c>
      <c r="MB351" s="5">
        <v>-0.26945740845878302</v>
      </c>
      <c r="MC351" s="5">
        <v>0.17565117734590099</v>
      </c>
      <c r="MD351" s="5">
        <v>-0.23668308644316599</v>
      </c>
      <c r="ME351" s="5">
        <v>0.213155890543168</v>
      </c>
      <c r="MF351" s="5">
        <v>0.114625936795701</v>
      </c>
      <c r="MG351" s="5">
        <v>-0.14811049494651199</v>
      </c>
      <c r="MH351" s="5">
        <v>-0.26720456796740399</v>
      </c>
      <c r="MI351" s="5">
        <v>0.26026665668375798</v>
      </c>
      <c r="MJ351" s="5">
        <v>-0.27082242539082702</v>
      </c>
      <c r="MK351" s="5">
        <v>0.26566104950925501</v>
      </c>
      <c r="ML351" s="5">
        <v>-0.84654693874530795</v>
      </c>
      <c r="MM351" s="5">
        <v>1</v>
      </c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</row>
    <row r="352" spans="1:389" x14ac:dyDescent="0.45">
      <c r="A352" s="4" t="str">
        <f ca="1">"TTO / beta1dist in "&amp;CELL("address",'damages-1990'!$J$177)</f>
        <v>TTO / beta1dist in '[BHM betas v3pd.xlsx]damages-1990'!$J$177</v>
      </c>
      <c r="B352" s="6">
        <v>0.179933255953967</v>
      </c>
      <c r="C352" s="5">
        <v>-4.0656605075711297E-2</v>
      </c>
      <c r="D352" s="5">
        <v>0.55349026901347498</v>
      </c>
      <c r="E352" s="5">
        <v>-0.522262866386905</v>
      </c>
      <c r="F352" s="5">
        <v>7.45669390032387E-2</v>
      </c>
      <c r="G352" s="5">
        <v>6.7181432697955595E-2</v>
      </c>
      <c r="H352" s="5">
        <v>-4.4962354506989502E-2</v>
      </c>
      <c r="I352" s="5">
        <v>2.6696466306149799E-2</v>
      </c>
      <c r="J352" s="5">
        <v>0.37558237987683002</v>
      </c>
      <c r="K352" s="5">
        <v>-0.259692922884662</v>
      </c>
      <c r="L352" s="5">
        <v>0.12292055147827199</v>
      </c>
      <c r="M352" s="5">
        <v>0.113403984489489</v>
      </c>
      <c r="N352" s="5">
        <v>0.13130847913256199</v>
      </c>
      <c r="O352" s="5">
        <v>-0.22567371624551999</v>
      </c>
      <c r="P352" s="5">
        <v>0.64353993990303904</v>
      </c>
      <c r="Q352" s="5">
        <v>-0.59829087556164895</v>
      </c>
      <c r="R352" s="5">
        <v>0.35675716426952397</v>
      </c>
      <c r="S352" s="5">
        <v>-0.32184862671011299</v>
      </c>
      <c r="T352" s="5">
        <v>0.28526202968401698</v>
      </c>
      <c r="U352" s="5">
        <v>-0.35912145330821199</v>
      </c>
      <c r="V352" s="5">
        <v>0.108777749535338</v>
      </c>
      <c r="W352" s="5">
        <v>8.5390959518758094E-2</v>
      </c>
      <c r="X352" s="5">
        <v>0.50616492998420204</v>
      </c>
      <c r="Y352" s="5">
        <v>-0.43379691525395297</v>
      </c>
      <c r="Z352" s="5">
        <v>0.125815528306462</v>
      </c>
      <c r="AA352" s="5">
        <v>-0.115359492616048</v>
      </c>
      <c r="AB352" s="5">
        <v>0.48776084169389999</v>
      </c>
      <c r="AC352" s="5">
        <v>-0.51304465230865604</v>
      </c>
      <c r="AD352" s="5">
        <v>0.462734152140519</v>
      </c>
      <c r="AE352" s="5">
        <v>-0.459404154460686</v>
      </c>
      <c r="AF352" s="5">
        <v>0.255105427430528</v>
      </c>
      <c r="AG352" s="5">
        <v>-0.21977321949548201</v>
      </c>
      <c r="AH352" s="5">
        <v>0.118995811107795</v>
      </c>
      <c r="AI352" s="5">
        <v>-3.7271221095486397E-2</v>
      </c>
      <c r="AJ352" s="5">
        <v>0.353564419281168</v>
      </c>
      <c r="AK352" s="5">
        <v>-0.19618855696555601</v>
      </c>
      <c r="AL352" s="5">
        <v>4.1534645011643001E-2</v>
      </c>
      <c r="AM352" s="5">
        <v>7.9583664133887996E-2</v>
      </c>
      <c r="AN352" s="5">
        <v>0.23502495991767799</v>
      </c>
      <c r="AO352" s="5">
        <v>-0.26037185122665002</v>
      </c>
      <c r="AP352" s="5">
        <v>-5.5876757398254399E-3</v>
      </c>
      <c r="AQ352" s="5">
        <v>-2.8881854579507302E-2</v>
      </c>
      <c r="AR352" s="5">
        <v>0.44618169159146498</v>
      </c>
      <c r="AS352" s="5">
        <v>-0.40779544016728297</v>
      </c>
      <c r="AT352" s="5">
        <v>-0.14078401529871801</v>
      </c>
      <c r="AU352" s="5">
        <v>0.25940769626951399</v>
      </c>
      <c r="AV352" s="5">
        <v>0.39011820787481399</v>
      </c>
      <c r="AW352" s="5">
        <v>-0.40689199885614502</v>
      </c>
      <c r="AX352" s="5">
        <v>0.52790149920879703</v>
      </c>
      <c r="AY352" s="5">
        <v>-0.59241119165102396</v>
      </c>
      <c r="AZ352" s="5">
        <v>0.75776237038239003</v>
      </c>
      <c r="BA352" s="5">
        <v>-0.69055115538602996</v>
      </c>
      <c r="BB352" s="5">
        <v>0.32937461762259601</v>
      </c>
      <c r="BC352" s="5">
        <v>-0.29425582268726502</v>
      </c>
      <c r="BD352" s="5">
        <v>4.8998780824092002E-2</v>
      </c>
      <c r="BE352" s="5">
        <v>0.107284676720362</v>
      </c>
      <c r="BF352" s="5">
        <v>0.57918067147713104</v>
      </c>
      <c r="BG352" s="5">
        <v>-0.55616807587901296</v>
      </c>
      <c r="BH352" s="5">
        <v>0.55401302806663599</v>
      </c>
      <c r="BI352" s="5">
        <v>-0.56144683529390804</v>
      </c>
      <c r="BJ352" s="5">
        <v>-9.5540612146953002E-2</v>
      </c>
      <c r="BK352" s="5">
        <v>7.5532717342988304E-2</v>
      </c>
      <c r="BL352" s="5">
        <v>0.302285964069132</v>
      </c>
      <c r="BM352" s="5">
        <v>-0.38972986540294202</v>
      </c>
      <c r="BN352" s="5">
        <v>-7.3302561058615406E-2</v>
      </c>
      <c r="BO352" s="5">
        <v>0.14707786805929601</v>
      </c>
      <c r="BP352" s="5">
        <v>-0.18925450149055401</v>
      </c>
      <c r="BQ352" s="5">
        <v>0.36257853956687403</v>
      </c>
      <c r="BR352" s="5">
        <v>0.51375534300556303</v>
      </c>
      <c r="BS352" s="5">
        <v>-0.52838746962338901</v>
      </c>
      <c r="BT352" s="5">
        <v>0.51672475376926297</v>
      </c>
      <c r="BU352" s="5">
        <v>-0.53829038948562102</v>
      </c>
      <c r="BV352" s="5">
        <v>0.46230615045047602</v>
      </c>
      <c r="BW352" s="5">
        <v>-0.444881941868221</v>
      </c>
      <c r="BX352" s="5">
        <v>0.38265583291905397</v>
      </c>
      <c r="BY352" s="5">
        <v>-0.401869565360568</v>
      </c>
      <c r="BZ352" s="5">
        <v>0.451227844843819</v>
      </c>
      <c r="CA352" s="5">
        <v>-0.49038359752067001</v>
      </c>
      <c r="CB352" s="5">
        <v>0.26955210344305602</v>
      </c>
      <c r="CC352" s="5">
        <v>-0.29606462273187101</v>
      </c>
      <c r="CD352" s="5">
        <v>0.37845717341629798</v>
      </c>
      <c r="CE352" s="5">
        <v>-0.35036044101208103</v>
      </c>
      <c r="CF352" s="5">
        <v>0.66832851479396405</v>
      </c>
      <c r="CG352" s="5">
        <v>-0.63868209038038504</v>
      </c>
      <c r="CH352" s="5">
        <v>0.13208888147067499</v>
      </c>
      <c r="CI352" s="5">
        <v>-6.7229749354780294E-2</v>
      </c>
      <c r="CJ352" s="5">
        <v>-5.99912400408791E-2</v>
      </c>
      <c r="CK352" s="5">
        <v>0.27336655173180002</v>
      </c>
      <c r="CL352" s="5">
        <v>0.20376667397385601</v>
      </c>
      <c r="CM352" s="5">
        <v>-0.24337793984842701</v>
      </c>
      <c r="CN352" s="5">
        <v>0.13636274814510099</v>
      </c>
      <c r="CO352" s="5">
        <v>-0.14973597572404801</v>
      </c>
      <c r="CP352" s="5">
        <v>0.41537922994085302</v>
      </c>
      <c r="CQ352" s="5">
        <v>-0.37552127088691301</v>
      </c>
      <c r="CR352" s="5">
        <v>0.72604716049894102</v>
      </c>
      <c r="CS352" s="5">
        <v>-0.666997654876895</v>
      </c>
      <c r="CT352" s="5">
        <v>8.69166816363664E-2</v>
      </c>
      <c r="CU352" s="5">
        <v>-0.106067642120473</v>
      </c>
      <c r="CV352" s="5">
        <v>0.53876232134029101</v>
      </c>
      <c r="CW352" s="5">
        <v>-0.46147813722985398</v>
      </c>
      <c r="CX352" s="5">
        <v>0.309169965567752</v>
      </c>
      <c r="CY352" s="5">
        <v>-0.19116219542788701</v>
      </c>
      <c r="CZ352" s="5">
        <v>0.49640694215494802</v>
      </c>
      <c r="DA352" s="5">
        <v>-0.52655982164293802</v>
      </c>
      <c r="DB352" s="5">
        <v>0.151034216678299</v>
      </c>
      <c r="DC352" s="5">
        <v>0.12037511239401</v>
      </c>
      <c r="DD352" s="5">
        <v>0.48655160925455898</v>
      </c>
      <c r="DE352" s="5">
        <v>-0.40644117133147101</v>
      </c>
      <c r="DF352" s="5">
        <v>0.45253730641190698</v>
      </c>
      <c r="DG352" s="5">
        <v>-0.38251213443350801</v>
      </c>
      <c r="DH352" s="5">
        <v>0.201720157180141</v>
      </c>
      <c r="DI352" s="5">
        <v>-9.1932176471722998E-2</v>
      </c>
      <c r="DJ352" s="5">
        <v>-8.5292781058320305E-2</v>
      </c>
      <c r="DK352" s="5">
        <v>4.1872353663133598E-2</v>
      </c>
      <c r="DL352" s="5">
        <v>0.49469123756168898</v>
      </c>
      <c r="DM352" s="5">
        <v>-0.43668363565717</v>
      </c>
      <c r="DN352" s="5">
        <v>-0.16111078416341701</v>
      </c>
      <c r="DO352" s="5">
        <v>9.3145946548787495E-2</v>
      </c>
      <c r="DP352" s="5">
        <v>-5.5209138753104299E-2</v>
      </c>
      <c r="DQ352" s="5">
        <v>0.19020970403670401</v>
      </c>
      <c r="DR352" s="5">
        <v>0.13234732573878</v>
      </c>
      <c r="DS352" s="5">
        <v>-9.23262505514931E-2</v>
      </c>
      <c r="DT352" s="5">
        <v>0.30648567969384599</v>
      </c>
      <c r="DU352" s="5">
        <v>-0.216696203004687</v>
      </c>
      <c r="DV352" s="5">
        <v>0.31894175569078498</v>
      </c>
      <c r="DW352" s="5">
        <v>-0.33253584802365199</v>
      </c>
      <c r="DX352" s="5">
        <v>-4.5346190962386797E-2</v>
      </c>
      <c r="DY352" s="5">
        <v>6.79023370798678E-2</v>
      </c>
      <c r="DZ352" s="5">
        <v>0.13895779358829599</v>
      </c>
      <c r="EA352" s="5">
        <v>-0.240621267115777</v>
      </c>
      <c r="EB352" s="5">
        <v>0.56230880540801298</v>
      </c>
      <c r="EC352" s="5">
        <v>-0.53339732127036998</v>
      </c>
      <c r="ED352" s="5">
        <v>0.50151733723862402</v>
      </c>
      <c r="EE352" s="5">
        <v>-0.49757772269853401</v>
      </c>
      <c r="EF352" s="5">
        <v>0.70950115716742401</v>
      </c>
      <c r="EG352" s="5">
        <v>-0.65027066494507402</v>
      </c>
      <c r="EH352" s="5">
        <v>0.55379613781107095</v>
      </c>
      <c r="EI352" s="5">
        <v>-0.50244942005978199</v>
      </c>
      <c r="EJ352" s="5">
        <v>0.52936133864977997</v>
      </c>
      <c r="EK352" s="5">
        <v>-0.50127191978397401</v>
      </c>
      <c r="EL352" s="5">
        <v>0.51897229958117397</v>
      </c>
      <c r="EM352" s="5">
        <v>-0.51872442376599004</v>
      </c>
      <c r="EN352" s="5">
        <v>-0.11342230649359999</v>
      </c>
      <c r="EO352" s="5">
        <v>0.34593900003596201</v>
      </c>
      <c r="EP352" s="5">
        <v>0.78927362958816505</v>
      </c>
      <c r="EQ352" s="5">
        <v>-0.71099218455443303</v>
      </c>
      <c r="ER352" s="5">
        <v>0.46051265972844302</v>
      </c>
      <c r="ES352" s="5">
        <v>-0.43774576744518401</v>
      </c>
      <c r="ET352" s="5">
        <v>0.60918073707560705</v>
      </c>
      <c r="EU352" s="5">
        <v>-0.63491244891924703</v>
      </c>
      <c r="EV352" s="5">
        <v>0.59992253572826904</v>
      </c>
      <c r="EW352" s="5">
        <v>-0.61086961259491801</v>
      </c>
      <c r="EX352" s="5">
        <v>0.24715142588156799</v>
      </c>
      <c r="EY352" s="5">
        <v>-0.22308149512027201</v>
      </c>
      <c r="EZ352" s="5">
        <v>0.46803584123043601</v>
      </c>
      <c r="FA352" s="5">
        <v>-0.415035660215542</v>
      </c>
      <c r="FB352" s="5">
        <v>0.17724271910373099</v>
      </c>
      <c r="FC352" s="5">
        <v>-0.121327271535612</v>
      </c>
      <c r="FD352" s="5">
        <v>0.47795620570025299</v>
      </c>
      <c r="FE352" s="5">
        <v>-0.411194244190487</v>
      </c>
      <c r="FF352" s="5">
        <v>0.15641664145985501</v>
      </c>
      <c r="FG352" s="5">
        <v>-0.111288956766291</v>
      </c>
      <c r="FH352" s="5">
        <v>0.247614631880133</v>
      </c>
      <c r="FI352" s="5">
        <v>-0.18851455763892</v>
      </c>
      <c r="FJ352" s="5">
        <v>0.40721066284013402</v>
      </c>
      <c r="FK352" s="5">
        <v>-0.32143221546387002</v>
      </c>
      <c r="FL352" s="5">
        <v>-0.17547874030149799</v>
      </c>
      <c r="FM352" s="5">
        <v>0.234826395568146</v>
      </c>
      <c r="FN352" s="5">
        <v>0.27178456747949498</v>
      </c>
      <c r="FO352" s="5">
        <v>-8.3902043218332695E-2</v>
      </c>
      <c r="FP352" s="5">
        <v>0.22645201477171201</v>
      </c>
      <c r="FQ352" s="5">
        <v>1.21868643819074E-2</v>
      </c>
      <c r="FR352" s="5">
        <v>-0.15308019264285999</v>
      </c>
      <c r="FS352" s="5">
        <v>0.107728116533351</v>
      </c>
      <c r="FT352" s="5">
        <v>7.9239991259143702E-2</v>
      </c>
      <c r="FU352" s="5">
        <v>0.214244731247831</v>
      </c>
      <c r="FV352" s="5">
        <v>9.2749778424527696E-2</v>
      </c>
      <c r="FW352" s="5">
        <v>4.2261920473501101E-2</v>
      </c>
      <c r="FX352" s="5">
        <v>0.47475302590849999</v>
      </c>
      <c r="FY352" s="5">
        <v>-0.42319347505972699</v>
      </c>
      <c r="FZ352" s="5">
        <v>0.13896983039549801</v>
      </c>
      <c r="GA352" s="5">
        <v>0.15529009716730299</v>
      </c>
      <c r="GB352" s="5">
        <v>0.109166118564578</v>
      </c>
      <c r="GC352" s="5">
        <v>-9.2052876092514196E-3</v>
      </c>
      <c r="GD352" s="5">
        <v>-0.107176937773046</v>
      </c>
      <c r="GE352" s="5">
        <v>0.110223715036342</v>
      </c>
      <c r="GF352" s="5">
        <v>0.43309340042738398</v>
      </c>
      <c r="GG352" s="5">
        <v>-0.42203359082286801</v>
      </c>
      <c r="GH352" s="5">
        <v>-0.29821424428344301</v>
      </c>
      <c r="GI352" s="5">
        <v>0.32748812889139001</v>
      </c>
      <c r="GJ352" s="5">
        <v>0.380906643494757</v>
      </c>
      <c r="GK352" s="5">
        <v>-0.36488955609152701</v>
      </c>
      <c r="GL352" s="5">
        <v>0.648816594730521</v>
      </c>
      <c r="GM352" s="5">
        <v>-0.56864138803587105</v>
      </c>
      <c r="GN352" s="5">
        <v>8.5095433588073505E-2</v>
      </c>
      <c r="GO352" s="5">
        <v>4.7611301091458801E-2</v>
      </c>
      <c r="GP352" s="5">
        <v>0.34753472357373999</v>
      </c>
      <c r="GQ352" s="5">
        <v>-0.16385463029056599</v>
      </c>
      <c r="GR352" s="5">
        <v>0.34310627203982202</v>
      </c>
      <c r="GS352" s="5">
        <v>-0.32794583968729901</v>
      </c>
      <c r="GT352" s="5">
        <v>3.7624264167527399E-2</v>
      </c>
      <c r="GU352" s="5">
        <v>0.247039678315286</v>
      </c>
      <c r="GV352" s="5">
        <v>0.45146653531390302</v>
      </c>
      <c r="GW352" s="5">
        <v>-0.54484133859762696</v>
      </c>
      <c r="GX352" s="5">
        <v>0.13577398292989801</v>
      </c>
      <c r="GY352" s="5">
        <v>4.9701128405699999E-2</v>
      </c>
      <c r="GZ352" s="5">
        <v>0.30772575098291199</v>
      </c>
      <c r="HA352" s="5">
        <v>-0.38820476863239201</v>
      </c>
      <c r="HB352" s="5">
        <v>0.47105458161797698</v>
      </c>
      <c r="HC352" s="5">
        <v>-0.52881021601061995</v>
      </c>
      <c r="HD352" s="5">
        <v>0.12884017110257601</v>
      </c>
      <c r="HE352" s="5">
        <v>-3.4464360504491802E-2</v>
      </c>
      <c r="HF352" s="5">
        <v>-2.6066317022739101E-2</v>
      </c>
      <c r="HG352" s="5">
        <v>-1.9538104726525502E-3</v>
      </c>
      <c r="HH352" s="5">
        <v>0.122457480135567</v>
      </c>
      <c r="HI352" s="5">
        <v>-0.125155878021111</v>
      </c>
      <c r="HJ352" s="5">
        <v>-4.3924729224441898E-2</v>
      </c>
      <c r="HK352" s="5">
        <v>7.1276021583149898E-3</v>
      </c>
      <c r="HL352" s="5">
        <v>0.34262777285476897</v>
      </c>
      <c r="HM352" s="5">
        <v>-0.27948646736698302</v>
      </c>
      <c r="HN352" s="5">
        <v>0.117043869079309</v>
      </c>
      <c r="HO352" s="5">
        <v>-9.1145258797251494E-2</v>
      </c>
      <c r="HP352" s="5">
        <v>7.22034129517381E-2</v>
      </c>
      <c r="HQ352" s="5">
        <v>3.22805781129007E-2</v>
      </c>
      <c r="HR352" s="5">
        <v>0.334478490888383</v>
      </c>
      <c r="HS352" s="5">
        <v>-0.27164106716098002</v>
      </c>
      <c r="HT352" s="5">
        <v>0.13893882897309601</v>
      </c>
      <c r="HU352" s="5">
        <v>-8.4207413378918503E-2</v>
      </c>
      <c r="HV352" s="5">
        <v>0.41114137968249698</v>
      </c>
      <c r="HW352" s="5">
        <v>-0.35187968310599899</v>
      </c>
      <c r="HX352" s="5">
        <v>0.27714921864751502</v>
      </c>
      <c r="HY352" s="5">
        <v>-0.24809167672900001</v>
      </c>
      <c r="HZ352" s="5">
        <v>0.223540182294165</v>
      </c>
      <c r="IA352" s="5">
        <v>-0.28068678670168601</v>
      </c>
      <c r="IB352" s="5">
        <v>-0.32053798848370901</v>
      </c>
      <c r="IC352" s="5">
        <v>0.34535981677216299</v>
      </c>
      <c r="ID352" s="5">
        <v>0.40792716720890598</v>
      </c>
      <c r="IE352" s="5">
        <v>-0.386039834212622</v>
      </c>
      <c r="IF352" s="5">
        <v>0.45865058177728801</v>
      </c>
      <c r="IG352" s="5">
        <v>-0.38374804788919298</v>
      </c>
      <c r="IH352" s="5">
        <v>0.759784788549145</v>
      </c>
      <c r="II352" s="5">
        <v>-0.70268248067760397</v>
      </c>
      <c r="IJ352" s="5">
        <v>0.13699294092032199</v>
      </c>
      <c r="IK352" s="5">
        <v>-9.65832986636221E-2</v>
      </c>
      <c r="IL352" s="5">
        <v>0.27593743817153998</v>
      </c>
      <c r="IM352" s="5">
        <v>-0.180395547845455</v>
      </c>
      <c r="IN352" s="5">
        <v>0.35928824510559998</v>
      </c>
      <c r="IO352" s="5">
        <v>-0.34365476541351703</v>
      </c>
      <c r="IP352" s="5">
        <v>0.58845265361814003</v>
      </c>
      <c r="IQ352" s="5">
        <v>-0.56732937647505</v>
      </c>
      <c r="IR352" s="5">
        <v>-3.1673079466783701E-3</v>
      </c>
      <c r="IS352" s="5">
        <v>9.4586596319705604E-2</v>
      </c>
      <c r="IT352" s="5">
        <v>0.34996883026629</v>
      </c>
      <c r="IU352" s="5">
        <v>-0.26588942043128899</v>
      </c>
      <c r="IV352" s="5">
        <v>0.45597757101662001</v>
      </c>
      <c r="IW352" s="5">
        <v>-0.44613783597863799</v>
      </c>
      <c r="IX352" s="5">
        <v>0.57573818708803703</v>
      </c>
      <c r="IY352" s="5">
        <v>-0.53948044616121804</v>
      </c>
      <c r="IZ352" s="5">
        <v>0.14668850631761499</v>
      </c>
      <c r="JA352" s="5">
        <v>-0.143523160006231</v>
      </c>
      <c r="JB352" s="5">
        <v>-4.5041773648564203E-2</v>
      </c>
      <c r="JC352" s="5">
        <v>-3.8492382866256898E-2</v>
      </c>
      <c r="JD352" s="5">
        <v>0.18836856224902301</v>
      </c>
      <c r="JE352" s="5">
        <v>-8.8644931803014498E-2</v>
      </c>
      <c r="JF352" s="5">
        <v>0.34908673060137602</v>
      </c>
      <c r="JG352" s="5">
        <v>-0.342788805970488</v>
      </c>
      <c r="JH352" s="5">
        <v>9.3124422808973595E-2</v>
      </c>
      <c r="JI352" s="5">
        <v>-7.0776227918864801E-2</v>
      </c>
      <c r="JJ352" s="5">
        <v>0.47456822649722402</v>
      </c>
      <c r="JK352" s="5">
        <v>-0.37302646316735799</v>
      </c>
      <c r="JL352" s="5">
        <v>0.40251556284849299</v>
      </c>
      <c r="JM352" s="5">
        <v>-0.29764759501528698</v>
      </c>
      <c r="JN352" s="5">
        <v>0.56217943843307905</v>
      </c>
      <c r="JO352" s="5">
        <v>-0.57919322960842101</v>
      </c>
      <c r="JP352" s="5">
        <v>0.42888195623022901</v>
      </c>
      <c r="JQ352" s="5">
        <v>-0.45653207857815398</v>
      </c>
      <c r="JR352" s="5">
        <v>0.169203464957841</v>
      </c>
      <c r="JS352" s="5">
        <v>-7.0161982015616894E-2</v>
      </c>
      <c r="JT352" s="5">
        <v>1.6871437207747302E-2</v>
      </c>
      <c r="JU352" s="5">
        <v>0.11160574702704899</v>
      </c>
      <c r="JV352" s="5">
        <v>0.29524637582291602</v>
      </c>
      <c r="JW352" s="5">
        <v>-0.21644936134662299</v>
      </c>
      <c r="JX352" s="5">
        <v>9.75632283088331E-2</v>
      </c>
      <c r="JY352" s="5">
        <v>-0.115091473868983</v>
      </c>
      <c r="JZ352" s="5">
        <v>0.65596557410845602</v>
      </c>
      <c r="KA352" s="5">
        <v>-0.57755342657573305</v>
      </c>
      <c r="KB352" s="5">
        <v>-3.3975111021650101E-2</v>
      </c>
      <c r="KC352" s="5">
        <v>3.4902012672954397E-2</v>
      </c>
      <c r="KD352" s="5">
        <v>0.26215496913161601</v>
      </c>
      <c r="KE352" s="5">
        <v>-0.14479152844836199</v>
      </c>
      <c r="KF352" s="5">
        <v>0.230500328180129</v>
      </c>
      <c r="KG352" s="5">
        <v>-0.14036688753354301</v>
      </c>
      <c r="KH352" s="5">
        <v>4.9487734778672902E-2</v>
      </c>
      <c r="KI352" s="5">
        <v>0.24075090199174301</v>
      </c>
      <c r="KJ352" s="5">
        <v>0.35005087725256401</v>
      </c>
      <c r="KK352" s="5">
        <v>-0.20578283383482401</v>
      </c>
      <c r="KL352" s="5">
        <v>0.12370202221634501</v>
      </c>
      <c r="KM352" s="5">
        <v>-5.3557665538552499E-2</v>
      </c>
      <c r="KN352" s="5">
        <v>0.157471662231812</v>
      </c>
      <c r="KO352" s="5">
        <v>-0.171725463930612</v>
      </c>
      <c r="KP352" s="5">
        <v>-0.25276622919411101</v>
      </c>
      <c r="KQ352" s="5">
        <v>0.209875231556441</v>
      </c>
      <c r="KR352" s="5">
        <v>0.49874380542295399</v>
      </c>
      <c r="KS352" s="5">
        <v>-0.46957289372500599</v>
      </c>
      <c r="KT352" s="5">
        <v>0.37983875840459502</v>
      </c>
      <c r="KU352" s="5">
        <v>-0.24973308590075199</v>
      </c>
      <c r="KV352" s="5">
        <v>0.55069755734189496</v>
      </c>
      <c r="KW352" s="5">
        <v>-0.48630461629889399</v>
      </c>
      <c r="KX352" s="5">
        <v>0.50825971833330297</v>
      </c>
      <c r="KY352" s="5">
        <v>-0.449585627124718</v>
      </c>
      <c r="KZ352" s="5">
        <v>0.26942295908927799</v>
      </c>
      <c r="LA352" s="5">
        <v>-0.240776494830303</v>
      </c>
      <c r="LB352" s="5">
        <v>0.61320363130284405</v>
      </c>
      <c r="LC352" s="5">
        <v>-0.61337545715090802</v>
      </c>
      <c r="LD352" s="5">
        <v>0.43531820111377101</v>
      </c>
      <c r="LE352" s="5">
        <v>-0.40625600042517801</v>
      </c>
      <c r="LF352" s="5">
        <v>0.18208915262210501</v>
      </c>
      <c r="LG352" s="5">
        <v>-0.15054997383125199</v>
      </c>
      <c r="LH352" s="5">
        <v>0.54780179536415297</v>
      </c>
      <c r="LI352" s="5">
        <v>-0.50496787772725504</v>
      </c>
      <c r="LJ352" s="5">
        <v>0.14954830102664499</v>
      </c>
      <c r="LK352" s="5">
        <v>-8.0021943621724101E-2</v>
      </c>
      <c r="LL352" s="5">
        <v>0.63622471075342701</v>
      </c>
      <c r="LM352" s="5">
        <v>-0.61407389537800505</v>
      </c>
      <c r="LN352" s="5">
        <v>0.425043474452444</v>
      </c>
      <c r="LO352" s="5">
        <v>-0.38854050132643803</v>
      </c>
      <c r="LP352" s="5">
        <v>0.53477514334460297</v>
      </c>
      <c r="LQ352" s="5">
        <v>-0.60149216221601798</v>
      </c>
      <c r="LR352" s="5">
        <v>0.18911659736966099</v>
      </c>
      <c r="LS352" s="5">
        <v>-0.235314944487439</v>
      </c>
      <c r="LT352" s="5">
        <v>0.26994174791219699</v>
      </c>
      <c r="LU352" s="5">
        <v>-0.30932930929621399</v>
      </c>
      <c r="LV352" s="5">
        <v>-6.4417485253479095E-2</v>
      </c>
      <c r="LW352" s="5">
        <v>9.4832799733532997E-3</v>
      </c>
      <c r="LX352" s="5">
        <v>6.3977662454611894E-2</v>
      </c>
      <c r="LY352" s="5">
        <v>0.20416088315738201</v>
      </c>
      <c r="LZ352" s="5">
        <v>0.435469649980957</v>
      </c>
      <c r="MA352" s="5">
        <v>-0.41015347611958702</v>
      </c>
      <c r="MB352" s="5">
        <v>0.46277854078370401</v>
      </c>
      <c r="MC352" s="5">
        <v>-0.47274834683891898</v>
      </c>
      <c r="MD352" s="5">
        <v>0.29855152657605399</v>
      </c>
      <c r="ME352" s="5">
        <v>-0.275130108994732</v>
      </c>
      <c r="MF352" s="5">
        <v>-0.226738537817748</v>
      </c>
      <c r="MG352" s="5">
        <v>0.26631620322688598</v>
      </c>
      <c r="MH352" s="5">
        <v>0.237533077090332</v>
      </c>
      <c r="MI352" s="5">
        <v>-6.4027260082359094E-2</v>
      </c>
      <c r="MJ352" s="5">
        <v>5.0227974305082197E-2</v>
      </c>
      <c r="MK352" s="5">
        <v>2.52266477216192E-2</v>
      </c>
      <c r="ML352" s="5">
        <v>0.17087056684525601</v>
      </c>
      <c r="MM352" s="5">
        <v>-0.105665525493678</v>
      </c>
      <c r="MN352" s="5">
        <v>1</v>
      </c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</row>
    <row r="353" spans="1:389" x14ac:dyDescent="0.45">
      <c r="A353" s="4" t="str">
        <f ca="1">"TTO / beta2dist in "&amp;CELL("address",'damages-1990'!$K$177)</f>
        <v>TTO / beta2dist in '[BHM betas v3pd.xlsx]damages-1990'!$K$177</v>
      </c>
      <c r="B353" s="6">
        <v>-7.6678902103048896E-2</v>
      </c>
      <c r="C353" s="5">
        <v>0.18753892680923701</v>
      </c>
      <c r="D353" s="5">
        <v>-0.34309180069179601</v>
      </c>
      <c r="E353" s="5">
        <v>0.626642264539787</v>
      </c>
      <c r="F353" s="5">
        <v>-1.9635955950697299E-2</v>
      </c>
      <c r="G353" s="5">
        <v>3.8308128918668902E-2</v>
      </c>
      <c r="H353" s="5">
        <v>-4.5008776036160401E-2</v>
      </c>
      <c r="I353" s="5">
        <v>5.4771953186886499E-3</v>
      </c>
      <c r="J353" s="5">
        <v>-0.16182363134536901</v>
      </c>
      <c r="K353" s="5">
        <v>0.33301992820911702</v>
      </c>
      <c r="L353" s="5">
        <v>6.1841355990017402E-2</v>
      </c>
      <c r="M353" s="5">
        <v>-6.8703485537103606E-2</v>
      </c>
      <c r="N353" s="5">
        <v>-0.13964850809701301</v>
      </c>
      <c r="O353" s="5">
        <v>0.21099789389120199</v>
      </c>
      <c r="P353" s="5">
        <v>-0.57306118483311996</v>
      </c>
      <c r="Q353" s="5">
        <v>0.72352821417497504</v>
      </c>
      <c r="R353" s="5">
        <v>-0.162990197637437</v>
      </c>
      <c r="S353" s="5">
        <v>0.434112454135609</v>
      </c>
      <c r="T353" s="5">
        <v>-0.36701179943960099</v>
      </c>
      <c r="U353" s="5">
        <v>0.42932595822074898</v>
      </c>
      <c r="V353" s="5">
        <v>1.8421298396405199E-2</v>
      </c>
      <c r="W353" s="5">
        <v>-1.6064715618465801E-3</v>
      </c>
      <c r="X353" s="5">
        <v>-0.32382861955615</v>
      </c>
      <c r="Y353" s="5">
        <v>0.54611194398898</v>
      </c>
      <c r="Z353" s="5">
        <v>-0.155776425881891</v>
      </c>
      <c r="AA353" s="5">
        <v>0.197540990443338</v>
      </c>
      <c r="AB353" s="5">
        <v>-0.32962135328164699</v>
      </c>
      <c r="AC353" s="5">
        <v>0.60919539024427805</v>
      </c>
      <c r="AD353" s="5">
        <v>-0.31964285767254802</v>
      </c>
      <c r="AE353" s="5">
        <v>0.57483200314469796</v>
      </c>
      <c r="AF353" s="5">
        <v>-6.9407832198293301E-2</v>
      </c>
      <c r="AG353" s="5">
        <v>0.28084213703571398</v>
      </c>
      <c r="AH353" s="5">
        <v>-7.8134641653929096E-2</v>
      </c>
      <c r="AI353" s="5">
        <v>0.12173010982415899</v>
      </c>
      <c r="AJ353" s="5">
        <v>-0.169937565246608</v>
      </c>
      <c r="AK353" s="5">
        <v>0.28087752396665699</v>
      </c>
      <c r="AL353" s="5">
        <v>0.20041214285623901</v>
      </c>
      <c r="AM353" s="5">
        <v>-0.182019625822328</v>
      </c>
      <c r="AN353" s="5">
        <v>-0.26670480877302899</v>
      </c>
      <c r="AO353" s="5">
        <v>0.35696632538484202</v>
      </c>
      <c r="AP353" s="5">
        <v>-0.14060767253706599</v>
      </c>
      <c r="AQ353" s="5">
        <v>0.186340989466145</v>
      </c>
      <c r="AR353" s="5">
        <v>-0.229565763247677</v>
      </c>
      <c r="AS353" s="5">
        <v>0.42651015410643101</v>
      </c>
      <c r="AT353" s="5">
        <v>0.31433737299164699</v>
      </c>
      <c r="AU353" s="5">
        <v>-0.31392772551069698</v>
      </c>
      <c r="AV353" s="5">
        <v>-0.146271978735599</v>
      </c>
      <c r="AW353" s="5">
        <v>0.478714079544521</v>
      </c>
      <c r="AX353" s="5">
        <v>-0.27759042295410802</v>
      </c>
      <c r="AY353" s="5">
        <v>0.65122387661529302</v>
      </c>
      <c r="AZ353" s="5">
        <v>-0.63327225969513901</v>
      </c>
      <c r="BA353" s="5">
        <v>0.77311826643557402</v>
      </c>
      <c r="BB353" s="5">
        <v>-0.11116631180792901</v>
      </c>
      <c r="BC353" s="5">
        <v>0.38116903034317801</v>
      </c>
      <c r="BD353" s="5">
        <v>-2.94976883543875E-2</v>
      </c>
      <c r="BE353" s="5">
        <v>9.44844556541517E-2</v>
      </c>
      <c r="BF353" s="5">
        <v>-0.41780021830654901</v>
      </c>
      <c r="BG353" s="5">
        <v>0.647798291539459</v>
      </c>
      <c r="BH353" s="5">
        <v>-0.33929958316146902</v>
      </c>
      <c r="BI353" s="5">
        <v>0.658335990797833</v>
      </c>
      <c r="BJ353" s="5">
        <v>-0.107926054429754</v>
      </c>
      <c r="BK353" s="5">
        <v>-1.03078615299917E-2</v>
      </c>
      <c r="BL353" s="5">
        <v>-0.38010368607894601</v>
      </c>
      <c r="BM353" s="5">
        <v>0.43166831543879502</v>
      </c>
      <c r="BN353" s="5">
        <v>2.0913880350458901E-2</v>
      </c>
      <c r="BO353" s="5">
        <v>-7.9621211579736895E-2</v>
      </c>
      <c r="BP353" s="5">
        <v>0.102591457330815</v>
      </c>
      <c r="BQ353" s="5">
        <v>-0.27156738250809098</v>
      </c>
      <c r="BR353" s="5">
        <v>-0.42957908410075502</v>
      </c>
      <c r="BS353" s="5">
        <v>0.68933615040218899</v>
      </c>
      <c r="BT353" s="5">
        <v>-0.28801357468312799</v>
      </c>
      <c r="BU353" s="5">
        <v>0.63081957064676097</v>
      </c>
      <c r="BV353" s="5">
        <v>-0.25553235305785299</v>
      </c>
      <c r="BW353" s="5">
        <v>0.55368997326075098</v>
      </c>
      <c r="BX353" s="5">
        <v>-0.213868817197713</v>
      </c>
      <c r="BY353" s="5">
        <v>0.52287069489990801</v>
      </c>
      <c r="BZ353" s="5">
        <v>-0.27459933001435799</v>
      </c>
      <c r="CA353" s="5">
        <v>0.59435135919988802</v>
      </c>
      <c r="CB353" s="5">
        <v>-0.111371047916045</v>
      </c>
      <c r="CC353" s="5">
        <v>0.35017351670236901</v>
      </c>
      <c r="CD353" s="5">
        <v>-0.19957380485388901</v>
      </c>
      <c r="CE353" s="5">
        <v>0.35529422854656201</v>
      </c>
      <c r="CF353" s="5">
        <v>-0.51015628619990006</v>
      </c>
      <c r="CG353" s="5">
        <v>0.697828903358237</v>
      </c>
      <c r="CH353" s="5">
        <v>0.107335701283426</v>
      </c>
      <c r="CI353" s="5">
        <v>-4.5701939139866601E-2</v>
      </c>
      <c r="CJ353" s="5">
        <v>0.178004241225133</v>
      </c>
      <c r="CK353" s="5">
        <v>-0.22416646423279199</v>
      </c>
      <c r="CL353" s="5">
        <v>-0.26421284709521098</v>
      </c>
      <c r="CM353" s="5">
        <v>0.31915298624071903</v>
      </c>
      <c r="CN353" s="5">
        <v>-0.19033711684271301</v>
      </c>
      <c r="CO353" s="5">
        <v>0.23412724648988001</v>
      </c>
      <c r="CP353" s="5">
        <v>-0.375344606572106</v>
      </c>
      <c r="CQ353" s="5">
        <v>0.53586604520905901</v>
      </c>
      <c r="CR353" s="5">
        <v>-0.63722104575191196</v>
      </c>
      <c r="CS353" s="5">
        <v>0.79555669355438297</v>
      </c>
      <c r="CT353" s="5">
        <v>-0.16722728217813401</v>
      </c>
      <c r="CU353" s="5">
        <v>0.197638527641462</v>
      </c>
      <c r="CV353" s="5">
        <v>-0.41883361546928399</v>
      </c>
      <c r="CW353" s="5">
        <v>0.553510830590348</v>
      </c>
      <c r="CX353" s="5">
        <v>-0.13951873818246399</v>
      </c>
      <c r="CY353" s="5">
        <v>0.306372686312472</v>
      </c>
      <c r="CZ353" s="5">
        <v>-0.31649357168195402</v>
      </c>
      <c r="DA353" s="5">
        <v>0.59794961470090802</v>
      </c>
      <c r="DB353" s="5">
        <v>1.7064611752925202E-2</v>
      </c>
      <c r="DC353" s="5">
        <v>1.34344391959599E-2</v>
      </c>
      <c r="DD353" s="5">
        <v>-0.38482473265828898</v>
      </c>
      <c r="DE353" s="5">
        <v>0.54992032509626998</v>
      </c>
      <c r="DF353" s="5">
        <v>-0.26316801520835398</v>
      </c>
      <c r="DG353" s="5">
        <v>0.43403833561032901</v>
      </c>
      <c r="DH353" s="5">
        <v>-0.118349425104921</v>
      </c>
      <c r="DI353" s="5">
        <v>0.23807717697866801</v>
      </c>
      <c r="DJ353" s="5">
        <v>-8.5377586524272894E-2</v>
      </c>
      <c r="DK353" s="5">
        <v>0.122455740578563</v>
      </c>
      <c r="DL353" s="5">
        <v>-0.32183620882046299</v>
      </c>
      <c r="DM353" s="5">
        <v>0.56517371865114496</v>
      </c>
      <c r="DN353" s="5">
        <v>-3.28413736226126E-2</v>
      </c>
      <c r="DO353" s="5">
        <v>5.9569010546970301E-2</v>
      </c>
      <c r="DP353" s="5">
        <v>0.26241135758649597</v>
      </c>
      <c r="DQ353" s="5">
        <v>-0.22867238496950901</v>
      </c>
      <c r="DR353" s="5">
        <v>-0.12255540516989701</v>
      </c>
      <c r="DS353" s="5">
        <v>0.19808764696328901</v>
      </c>
      <c r="DT353" s="5">
        <v>-0.24483811201023001</v>
      </c>
      <c r="DU353" s="5">
        <v>0.29950272643207698</v>
      </c>
      <c r="DV353" s="5">
        <v>-0.20771580454647601</v>
      </c>
      <c r="DW353" s="5">
        <v>0.46153771943900401</v>
      </c>
      <c r="DX353" s="5">
        <v>-4.0708907507698698E-2</v>
      </c>
      <c r="DY353" s="5">
        <v>4.1929408877152199E-2</v>
      </c>
      <c r="DZ353" s="5">
        <v>-0.144934040948621</v>
      </c>
      <c r="EA353" s="5">
        <v>0.24751862980950401</v>
      </c>
      <c r="EB353" s="5">
        <v>-0.42287885758737898</v>
      </c>
      <c r="EC353" s="5">
        <v>0.66091652424960601</v>
      </c>
      <c r="ED353" s="5">
        <v>-0.36361801471760402</v>
      </c>
      <c r="EE353" s="5">
        <v>0.64465376014488496</v>
      </c>
      <c r="EF353" s="5">
        <v>-0.64236894914673004</v>
      </c>
      <c r="EG353" s="5">
        <v>0.78135099964571897</v>
      </c>
      <c r="EH353" s="5">
        <v>-0.35461222812726401</v>
      </c>
      <c r="EI353" s="5">
        <v>0.60177133717069298</v>
      </c>
      <c r="EJ353" s="5">
        <v>-0.35131583604823502</v>
      </c>
      <c r="EK353" s="5">
        <v>0.624837782941842</v>
      </c>
      <c r="EL353" s="5">
        <v>-0.29658464025714898</v>
      </c>
      <c r="EM353" s="5">
        <v>0.56837583421394999</v>
      </c>
      <c r="EN353" s="5">
        <v>0.24526205973829701</v>
      </c>
      <c r="EO353" s="5">
        <v>-0.30934212702197</v>
      </c>
      <c r="EP353" s="5">
        <v>-0.65485207904798504</v>
      </c>
      <c r="EQ353" s="5">
        <v>0.79731141413743101</v>
      </c>
      <c r="ER353" s="5">
        <v>-0.24089715514839599</v>
      </c>
      <c r="ES353" s="5">
        <v>0.48062896305741898</v>
      </c>
      <c r="ET353" s="5">
        <v>-0.35599242847644902</v>
      </c>
      <c r="EU353" s="5">
        <v>0.63939080533355397</v>
      </c>
      <c r="EV353" s="5">
        <v>-0.39980005020230303</v>
      </c>
      <c r="EW353" s="5">
        <v>0.682025123861422</v>
      </c>
      <c r="EX353" s="5">
        <v>-8.5984882658918706E-3</v>
      </c>
      <c r="EY353" s="5">
        <v>0.210106117841001</v>
      </c>
      <c r="EZ353" s="5">
        <v>-0.25237616014444503</v>
      </c>
      <c r="FA353" s="5">
        <v>0.47856947396136201</v>
      </c>
      <c r="FB353" s="5">
        <v>-0.14116426113921099</v>
      </c>
      <c r="FC353" s="5">
        <v>0.212374046628522</v>
      </c>
      <c r="FD353" s="5">
        <v>-0.293259599493782</v>
      </c>
      <c r="FE353" s="5">
        <v>0.44756361433464598</v>
      </c>
      <c r="FF353" s="5">
        <v>-0.138007938392046</v>
      </c>
      <c r="FG353" s="5">
        <v>0.191890446520351</v>
      </c>
      <c r="FH353" s="5">
        <v>4.9978257187173199E-2</v>
      </c>
      <c r="FI353" s="5">
        <v>0.121966725352297</v>
      </c>
      <c r="FJ353" s="5">
        <v>-0.216250925757001</v>
      </c>
      <c r="FK353" s="5">
        <v>0.42961294869085298</v>
      </c>
      <c r="FL353" s="5">
        <v>0.119557951259347</v>
      </c>
      <c r="FM353" s="5">
        <v>-0.153379625151805</v>
      </c>
      <c r="FN353" s="5">
        <v>-8.5702960334824399E-2</v>
      </c>
      <c r="FO353" s="5">
        <v>0.15911728004672601</v>
      </c>
      <c r="FP353" s="5">
        <v>-3.9948477163237697E-2</v>
      </c>
      <c r="FQ353" s="5">
        <v>6.0644614480520498E-2</v>
      </c>
      <c r="FR353" s="5">
        <v>0.16130367300923401</v>
      </c>
      <c r="FS353" s="5">
        <v>-0.13752006113058199</v>
      </c>
      <c r="FT353" s="5">
        <v>6.8882920898457198E-2</v>
      </c>
      <c r="FU353" s="5">
        <v>-7.7523777936006899E-2</v>
      </c>
      <c r="FV353" s="5">
        <v>-1.11901041141846E-2</v>
      </c>
      <c r="FW353" s="5">
        <v>6.16154036095947E-2</v>
      </c>
      <c r="FX353" s="5">
        <v>-0.27881895774944998</v>
      </c>
      <c r="FY353" s="5">
        <v>0.44824476947152497</v>
      </c>
      <c r="FZ353" s="5">
        <v>3.3142344998110598E-2</v>
      </c>
      <c r="GA353" s="5">
        <v>-2.1288058686037101E-2</v>
      </c>
      <c r="GB353" s="5">
        <v>-8.6443861295366395E-2</v>
      </c>
      <c r="GC353" s="5">
        <v>0.14552480358056999</v>
      </c>
      <c r="GD353" s="5">
        <v>-2.6753805914700699E-2</v>
      </c>
      <c r="GE353" s="5">
        <v>2.3984530171800401E-2</v>
      </c>
      <c r="GF353" s="5">
        <v>-0.230023405695823</v>
      </c>
      <c r="GG353" s="5">
        <v>0.52118604723832396</v>
      </c>
      <c r="GH353" s="5">
        <v>0.236336694407079</v>
      </c>
      <c r="GI353" s="5">
        <v>-0.38762149371117599</v>
      </c>
      <c r="GJ353" s="5">
        <v>-0.114455422912165</v>
      </c>
      <c r="GK353" s="5">
        <v>0.336638975892873</v>
      </c>
      <c r="GL353" s="5">
        <v>-0.59622487966318205</v>
      </c>
      <c r="GM353" s="5">
        <v>0.70322255931723898</v>
      </c>
      <c r="GN353" s="5">
        <v>-4.9720123763755501E-2</v>
      </c>
      <c r="GO353" s="5">
        <v>0.10795620216094499</v>
      </c>
      <c r="GP353" s="5">
        <v>-0.14518274244798501</v>
      </c>
      <c r="GQ353" s="5">
        <v>0.231569251428453</v>
      </c>
      <c r="GR353" s="5">
        <v>-0.106551650904136</v>
      </c>
      <c r="GS353" s="5">
        <v>0.33782644758108998</v>
      </c>
      <c r="GT353" s="5">
        <v>8.2044760402545699E-2</v>
      </c>
      <c r="GU353" s="5">
        <v>-0.13940395693031901</v>
      </c>
      <c r="GV353" s="5">
        <v>-0.32309192113605201</v>
      </c>
      <c r="GW353" s="5">
        <v>0.65367961903154903</v>
      </c>
      <c r="GX353" s="5">
        <v>3.55896370745677E-2</v>
      </c>
      <c r="GY353" s="5">
        <v>3.04116261868192E-2</v>
      </c>
      <c r="GZ353" s="5">
        <v>-0.387818259306555</v>
      </c>
      <c r="HA353" s="5">
        <v>0.43729431085464598</v>
      </c>
      <c r="HB353" s="5">
        <v>-0.25151822853308098</v>
      </c>
      <c r="HC353" s="5">
        <v>0.57566612399370698</v>
      </c>
      <c r="HD353" s="5">
        <v>-0.10473182412812899</v>
      </c>
      <c r="HE353" s="5">
        <v>0.25078120033886903</v>
      </c>
      <c r="HF353" s="5">
        <v>-0.120343358308102</v>
      </c>
      <c r="HG353" s="5">
        <v>0.153804212565464</v>
      </c>
      <c r="HH353" s="5">
        <v>-0.16417729860939001</v>
      </c>
      <c r="HI353" s="5">
        <v>0.20391050365698701</v>
      </c>
      <c r="HJ353" s="5">
        <v>-0.11103918663507099</v>
      </c>
      <c r="HK353" s="5">
        <v>0.143872987345668</v>
      </c>
      <c r="HL353" s="5">
        <v>-0.194771310106132</v>
      </c>
      <c r="HM353" s="5">
        <v>0.40372109311244297</v>
      </c>
      <c r="HN353" s="5">
        <v>-0.11230491764587699</v>
      </c>
      <c r="HO353" s="5">
        <v>0.179679248009181</v>
      </c>
      <c r="HP353" s="5">
        <v>0.19413573038896001</v>
      </c>
      <c r="HQ353" s="5">
        <v>5.6398000258497396E-4</v>
      </c>
      <c r="HR353" s="5">
        <v>-8.3586118059426798E-2</v>
      </c>
      <c r="HS353" s="5">
        <v>0.30543357972478502</v>
      </c>
      <c r="HT353" s="5">
        <v>-0.135112284609199</v>
      </c>
      <c r="HU353" s="5">
        <v>0.19822247680944399</v>
      </c>
      <c r="HV353" s="5">
        <v>-0.243722333330398</v>
      </c>
      <c r="HW353" s="5">
        <v>0.46274968537674399</v>
      </c>
      <c r="HX353" s="5">
        <v>-7.2458369686036597E-2</v>
      </c>
      <c r="HY353" s="5">
        <v>0.34115869436388402</v>
      </c>
      <c r="HZ353" s="5">
        <v>-0.280028344873341</v>
      </c>
      <c r="IA353" s="5">
        <v>0.37632026175717598</v>
      </c>
      <c r="IB353" s="5">
        <v>0.21420534044587</v>
      </c>
      <c r="IC353" s="5">
        <v>-0.30528068589856699</v>
      </c>
      <c r="ID353" s="5">
        <v>-0.141390630254109</v>
      </c>
      <c r="IE353" s="5">
        <v>0.426579565744863</v>
      </c>
      <c r="IF353" s="5">
        <v>-0.269979715592712</v>
      </c>
      <c r="IG353" s="5">
        <v>0.488274789804437</v>
      </c>
      <c r="IH353" s="5">
        <v>-0.64927901089993001</v>
      </c>
      <c r="II353" s="5">
        <v>0.81203046532965195</v>
      </c>
      <c r="IJ353" s="5">
        <v>-5.14993123635561E-2</v>
      </c>
      <c r="IK353" s="5">
        <v>0.12632524791371699</v>
      </c>
      <c r="IL353" s="5">
        <v>9.1282745870015797E-3</v>
      </c>
      <c r="IM353" s="5">
        <v>0.19325794417453901</v>
      </c>
      <c r="IN353" s="5">
        <v>-7.9537346392568403E-2</v>
      </c>
      <c r="IO353" s="5">
        <v>0.33996055578543899</v>
      </c>
      <c r="IP353" s="5">
        <v>-0.426751668875817</v>
      </c>
      <c r="IQ353" s="5">
        <v>0.69782180615512102</v>
      </c>
      <c r="IR353" s="5">
        <v>0.16215921127902</v>
      </c>
      <c r="IS353" s="5">
        <v>-8.1668321873908697E-2</v>
      </c>
      <c r="IT353" s="5">
        <v>-0.177269502455522</v>
      </c>
      <c r="IU353" s="5">
        <v>0.37243745103402298</v>
      </c>
      <c r="IV353" s="5">
        <v>-0.32642140264317698</v>
      </c>
      <c r="IW353" s="5">
        <v>0.57506955423267203</v>
      </c>
      <c r="IX353" s="5">
        <v>-0.379080324156578</v>
      </c>
      <c r="IY353" s="5">
        <v>0.60687527969967703</v>
      </c>
      <c r="IZ353" s="5">
        <v>-0.17409939913624101</v>
      </c>
      <c r="JA353" s="5">
        <v>0.209214169925039</v>
      </c>
      <c r="JB353" s="5">
        <v>-0.14103186135971299</v>
      </c>
      <c r="JC353" s="5">
        <v>0.17908804027500999</v>
      </c>
      <c r="JD353" s="5">
        <v>-8.9416016476013299E-2</v>
      </c>
      <c r="JE353" s="5">
        <v>0.262214988668729</v>
      </c>
      <c r="JF353" s="5">
        <v>-0.25434141922907999</v>
      </c>
      <c r="JG353" s="5">
        <v>0.40601508474168002</v>
      </c>
      <c r="JH353" s="5">
        <v>-9.5941162918617595E-2</v>
      </c>
      <c r="JI353" s="5">
        <v>0.13896156915653801</v>
      </c>
      <c r="JJ353" s="5">
        <v>-0.28628420009982503</v>
      </c>
      <c r="JK353" s="5">
        <v>0.51388796666880998</v>
      </c>
      <c r="JL353" s="5">
        <v>-0.209830066081311</v>
      </c>
      <c r="JM353" s="5">
        <v>0.394247314054128</v>
      </c>
      <c r="JN353" s="5">
        <v>-0.40126808646459999</v>
      </c>
      <c r="JO353" s="5">
        <v>0.65214142656789797</v>
      </c>
      <c r="JP353" s="5">
        <v>-0.21447240243141</v>
      </c>
      <c r="JQ353" s="5">
        <v>0.55899566427862502</v>
      </c>
      <c r="JR353" s="5">
        <v>7.2317913227567698E-2</v>
      </c>
      <c r="JS353" s="5">
        <v>0.124228346046889</v>
      </c>
      <c r="JT353" s="5">
        <v>0.140619455078313</v>
      </c>
      <c r="JU353" s="5">
        <v>-8.6028734428786599E-2</v>
      </c>
      <c r="JV353" s="5">
        <v>-2.6517590039450201E-2</v>
      </c>
      <c r="JW353" s="5">
        <v>0.23378783271116399</v>
      </c>
      <c r="JX353" s="5">
        <v>-0.18513052977519001</v>
      </c>
      <c r="JY353" s="5">
        <v>0.226897980783477</v>
      </c>
      <c r="JZ353" s="5">
        <v>-0.59739993135923397</v>
      </c>
      <c r="KA353" s="5">
        <v>0.71652337232108099</v>
      </c>
      <c r="KB353" s="5">
        <v>-9.4957782681401301E-2</v>
      </c>
      <c r="KC353" s="5">
        <v>7.5334205281099298E-2</v>
      </c>
      <c r="KD353" s="5">
        <v>-0.13376994383875701</v>
      </c>
      <c r="KE353" s="5">
        <v>0.22112366617521401</v>
      </c>
      <c r="KF353" s="5">
        <v>-1.1581569212977701E-3</v>
      </c>
      <c r="KG353" s="5">
        <v>9.5612268572810702E-2</v>
      </c>
      <c r="KH353" s="5">
        <v>8.8422296461053096E-2</v>
      </c>
      <c r="KI353" s="5">
        <v>-0.10290766127659701</v>
      </c>
      <c r="KJ353" s="5">
        <v>-0.15553725277246999</v>
      </c>
      <c r="KK353" s="5">
        <v>0.28696371357078299</v>
      </c>
      <c r="KL353" s="5">
        <v>2.8491261780299901E-2</v>
      </c>
      <c r="KM353" s="5">
        <v>4.3637429482005399E-2</v>
      </c>
      <c r="KN353" s="5">
        <v>-0.17743057790865999</v>
      </c>
      <c r="KO353" s="5">
        <v>0.26271367782503602</v>
      </c>
      <c r="KP353" s="5">
        <v>9.8335961533215402E-2</v>
      </c>
      <c r="KQ353" s="5">
        <v>-0.127592438479807</v>
      </c>
      <c r="KR353" s="5">
        <v>-0.330578807488347</v>
      </c>
      <c r="KS353" s="5">
        <v>0.57873379352936405</v>
      </c>
      <c r="KT353" s="5">
        <v>-0.181163040967147</v>
      </c>
      <c r="KU353" s="5">
        <v>0.35928873201432698</v>
      </c>
      <c r="KV353" s="5">
        <v>-0.34553442719933197</v>
      </c>
      <c r="KW353" s="5">
        <v>0.57500043598763595</v>
      </c>
      <c r="KX353" s="5">
        <v>-0.31714396215421797</v>
      </c>
      <c r="KY353" s="5">
        <v>0.55667069016070903</v>
      </c>
      <c r="KZ353" s="5">
        <v>-0.16333628949234</v>
      </c>
      <c r="LA353" s="5">
        <v>0.30705937162684399</v>
      </c>
      <c r="LB353" s="5">
        <v>-0.38645140297783398</v>
      </c>
      <c r="LC353" s="5">
        <v>0.67208435877495998</v>
      </c>
      <c r="LD353" s="5">
        <v>-0.228739451319668</v>
      </c>
      <c r="LE353" s="5">
        <v>0.456856091207962</v>
      </c>
      <c r="LF353" s="5">
        <v>-0.15511140737717799</v>
      </c>
      <c r="LG353" s="5">
        <v>0.25993133599151003</v>
      </c>
      <c r="LH353" s="5">
        <v>-0.34779209949430101</v>
      </c>
      <c r="LI353" s="5">
        <v>0.60775250104762601</v>
      </c>
      <c r="LJ353" s="5">
        <v>-0.13525694492142401</v>
      </c>
      <c r="LK353" s="5">
        <v>0.19347275671063299</v>
      </c>
      <c r="LL353" s="5">
        <v>-0.43363776865419201</v>
      </c>
      <c r="LM353" s="5">
        <v>0.68927328868239701</v>
      </c>
      <c r="LN353" s="5">
        <v>-0.25803525373469699</v>
      </c>
      <c r="LO353" s="5">
        <v>0.44779211632785398</v>
      </c>
      <c r="LP353" s="5">
        <v>-0.29604757287074901</v>
      </c>
      <c r="LQ353" s="5">
        <v>0.61966179143969102</v>
      </c>
      <c r="LR353" s="5">
        <v>-0.25389361889518097</v>
      </c>
      <c r="LS353" s="5">
        <v>0.31617631716727101</v>
      </c>
      <c r="LT353" s="5">
        <v>-0.31369084870030001</v>
      </c>
      <c r="LU353" s="5">
        <v>0.39935927373570601</v>
      </c>
      <c r="LV353" s="5">
        <v>-0.114077378619919</v>
      </c>
      <c r="LW353" s="5">
        <v>0.13134809410760301</v>
      </c>
      <c r="LX353" s="5">
        <v>7.1699020568134694E-2</v>
      </c>
      <c r="LY353" s="5">
        <v>-8.9707118018865398E-2</v>
      </c>
      <c r="LZ353" s="5">
        <v>-0.214918907338538</v>
      </c>
      <c r="MA353" s="5">
        <v>0.47834015969722998</v>
      </c>
      <c r="MB353" s="5">
        <v>-0.33077347464366502</v>
      </c>
      <c r="MC353" s="5">
        <v>0.60437172988788701</v>
      </c>
      <c r="MD353" s="5">
        <v>-5.1827142034430701E-2</v>
      </c>
      <c r="ME353" s="5">
        <v>0.25468678617080198</v>
      </c>
      <c r="MF353" s="5">
        <v>0.183684983137236</v>
      </c>
      <c r="MG353" s="5">
        <v>-0.323078911698789</v>
      </c>
      <c r="MH353" s="5">
        <v>-4.1102276026976303E-2</v>
      </c>
      <c r="MI353" s="5">
        <v>0.10135929328695201</v>
      </c>
      <c r="MJ353" s="5">
        <v>0.150341290632546</v>
      </c>
      <c r="MK353" s="5">
        <v>-0.115479162419621</v>
      </c>
      <c r="ML353" s="5">
        <v>4.0376011847218602E-3</v>
      </c>
      <c r="MM353" s="5">
        <v>5.1368660088113999E-2</v>
      </c>
      <c r="MN353" s="5">
        <v>-0.86440494060968598</v>
      </c>
      <c r="MO353" s="5">
        <v>1</v>
      </c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</row>
    <row r="354" spans="1:389" x14ac:dyDescent="0.45">
      <c r="A354" s="4" t="str">
        <f ca="1">"TUN / beta1dist in "&amp;CELL("address",'damages-1990'!$J$178)</f>
        <v>TUN / beta1dist in '[BHM betas v3pd.xlsx]damages-1990'!$J$178</v>
      </c>
      <c r="B354" s="6">
        <v>0.33222310373573899</v>
      </c>
      <c r="C354" s="5">
        <v>3.5598394530150297E-2</v>
      </c>
      <c r="D354" s="5">
        <v>0.34887354916255803</v>
      </c>
      <c r="E354" s="5">
        <v>-3.7396564920494098E-2</v>
      </c>
      <c r="F354" s="5">
        <v>0.23312770202275601</v>
      </c>
      <c r="G354" s="5">
        <v>4.6305193027528599E-2</v>
      </c>
      <c r="H354" s="5">
        <v>-0.25368502637104701</v>
      </c>
      <c r="I354" s="5">
        <v>0.285808836480482</v>
      </c>
      <c r="J354" s="5">
        <v>0.44626925051177102</v>
      </c>
      <c r="K354" s="5">
        <v>-0.14458395280456501</v>
      </c>
      <c r="L354" s="5">
        <v>0.48838721525428003</v>
      </c>
      <c r="M354" s="5">
        <v>-0.18614752485976399</v>
      </c>
      <c r="N354" s="5">
        <v>-0.180215949264733</v>
      </c>
      <c r="O354" s="5">
        <v>0.33539040280034799</v>
      </c>
      <c r="P354" s="5">
        <v>0.16311021211099</v>
      </c>
      <c r="Q354" s="5">
        <v>-2.6481828076916599E-3</v>
      </c>
      <c r="R354" s="5">
        <v>0.47132218185115998</v>
      </c>
      <c r="S354" s="5">
        <v>-0.150804286538822</v>
      </c>
      <c r="T354" s="5">
        <v>-0.20915056939780799</v>
      </c>
      <c r="U354" s="5">
        <v>0.28697929143849898</v>
      </c>
      <c r="V354" s="5">
        <v>0.24407625424892601</v>
      </c>
      <c r="W354" s="5">
        <v>0.194301199761898</v>
      </c>
      <c r="X354" s="5">
        <v>0.29462723306376298</v>
      </c>
      <c r="Y354" s="5">
        <v>3.2617020274240897E-2</v>
      </c>
      <c r="Z354" s="5">
        <v>1.16895188637489E-2</v>
      </c>
      <c r="AA354" s="5">
        <v>0.15133062275034601</v>
      </c>
      <c r="AB354" s="5">
        <v>0.485463033448785</v>
      </c>
      <c r="AC354" s="5">
        <v>-0.33508856825614403</v>
      </c>
      <c r="AD354" s="5">
        <v>0.48491979554988202</v>
      </c>
      <c r="AE354" s="5">
        <v>-0.29771984830103998</v>
      </c>
      <c r="AF354" s="5">
        <v>0.48656147346735801</v>
      </c>
      <c r="AG354" s="5">
        <v>-0.25796594667072897</v>
      </c>
      <c r="AH354" s="5">
        <v>0.105462837631263</v>
      </c>
      <c r="AI354" s="5">
        <v>0.15815463211622599</v>
      </c>
      <c r="AJ354" s="5">
        <v>0.45774652231610502</v>
      </c>
      <c r="AK354" s="5">
        <v>-0.171813079287994</v>
      </c>
      <c r="AL354" s="5">
        <v>0.23907409130658899</v>
      </c>
      <c r="AM354" s="5">
        <v>-8.2158816568818002E-2</v>
      </c>
      <c r="AN354" s="5">
        <v>-9.6148948881593699E-2</v>
      </c>
      <c r="AO354" s="5">
        <v>0.30770243771917</v>
      </c>
      <c r="AP354" s="5">
        <v>-3.81419301925753E-2</v>
      </c>
      <c r="AQ354" s="5">
        <v>8.8796068554941598E-2</v>
      </c>
      <c r="AR354" s="5">
        <v>0.46932041797580898</v>
      </c>
      <c r="AS354" s="5">
        <v>-0.30081063588167101</v>
      </c>
      <c r="AT354" s="5">
        <v>0.28623535381627402</v>
      </c>
      <c r="AU354" s="5">
        <v>-0.143895137128498</v>
      </c>
      <c r="AV354" s="5">
        <v>0.61161453644435304</v>
      </c>
      <c r="AW354" s="5">
        <v>-0.41807414052976799</v>
      </c>
      <c r="AX354" s="5">
        <v>0.49819878137030998</v>
      </c>
      <c r="AY354" s="5">
        <v>-0.25076059659161998</v>
      </c>
      <c r="AZ354" s="5">
        <v>0.22574798026043699</v>
      </c>
      <c r="BA354" s="5">
        <v>-0.11069060209208301</v>
      </c>
      <c r="BB354" s="5">
        <v>0.443374473273207</v>
      </c>
      <c r="BC354" s="5">
        <v>-0.15041841235373801</v>
      </c>
      <c r="BD354" s="5">
        <v>0.213766363607819</v>
      </c>
      <c r="BE354" s="5">
        <v>0.13630749543440099</v>
      </c>
      <c r="BF354" s="5">
        <v>0.37427568782113901</v>
      </c>
      <c r="BG354" s="5">
        <v>-0.113763006217614</v>
      </c>
      <c r="BH354" s="5">
        <v>0.47896225403623399</v>
      </c>
      <c r="BI354" s="5">
        <v>-0.24601490036610699</v>
      </c>
      <c r="BJ354" s="5">
        <v>-0.25471645420828398</v>
      </c>
      <c r="BK354" s="5">
        <v>0.20261786736748899</v>
      </c>
      <c r="BL354" s="5">
        <v>-0.22226878729747901</v>
      </c>
      <c r="BM354" s="5">
        <v>0.28038000024850102</v>
      </c>
      <c r="BN354" s="5">
        <v>3.7499907310674999E-2</v>
      </c>
      <c r="BO354" s="5">
        <v>0.113133271931911</v>
      </c>
      <c r="BP354" s="5">
        <v>-0.119330017687388</v>
      </c>
      <c r="BQ354" s="5">
        <v>0.32692023724341501</v>
      </c>
      <c r="BR354" s="5">
        <v>0.41246052844995801</v>
      </c>
      <c r="BS354" s="5">
        <v>-0.226004079335314</v>
      </c>
      <c r="BT354" s="5">
        <v>0.60016508151385295</v>
      </c>
      <c r="BU354" s="5">
        <v>-0.38882353881151399</v>
      </c>
      <c r="BV354" s="5">
        <v>0.417170300044304</v>
      </c>
      <c r="BW354" s="5">
        <v>-0.14398505420541199</v>
      </c>
      <c r="BX354" s="5">
        <v>0.43551407328157898</v>
      </c>
      <c r="BY354" s="5">
        <v>-0.235800991321649</v>
      </c>
      <c r="BZ354" s="5">
        <v>0.44133910309702801</v>
      </c>
      <c r="CA354" s="5">
        <v>-0.18577751228550399</v>
      </c>
      <c r="CB354" s="5">
        <v>0.28163614405438803</v>
      </c>
      <c r="CC354" s="5">
        <v>-0.147896524253537</v>
      </c>
      <c r="CD354" s="5">
        <v>3.6256651506589001E-2</v>
      </c>
      <c r="CE354" s="5">
        <v>0.15358819449306799</v>
      </c>
      <c r="CF354" s="5">
        <v>0.32766176151467302</v>
      </c>
      <c r="CG354" s="5">
        <v>-0.19205242179748899</v>
      </c>
      <c r="CH354" s="5">
        <v>0.19900811028053</v>
      </c>
      <c r="CI354" s="5">
        <v>-9.1731943757152296E-2</v>
      </c>
      <c r="CJ354" s="5">
        <v>0.51112001091298997</v>
      </c>
      <c r="CK354" s="5">
        <v>-0.29511212837911799</v>
      </c>
      <c r="CL354" s="5">
        <v>-0.13217092419301199</v>
      </c>
      <c r="CM354" s="5">
        <v>0.24966096725860501</v>
      </c>
      <c r="CN354" s="5">
        <v>-6.7718620105980898E-2</v>
      </c>
      <c r="CO354" s="5">
        <v>0.214156562766355</v>
      </c>
      <c r="CP354" s="5">
        <v>0.220457463913835</v>
      </c>
      <c r="CQ354" s="5">
        <v>-6.2276193895552501E-2</v>
      </c>
      <c r="CR354" s="5">
        <v>0.14632654418795099</v>
      </c>
      <c r="CS354" s="5">
        <v>9.1265637019729701E-3</v>
      </c>
      <c r="CT354" s="5">
        <v>-3.5324384578123202E-2</v>
      </c>
      <c r="CU354" s="5">
        <v>9.5801439996423099E-2</v>
      </c>
      <c r="CV354" s="5">
        <v>0.206315556457009</v>
      </c>
      <c r="CW354" s="5">
        <v>-4.5995880829101797E-2</v>
      </c>
      <c r="CX354" s="5">
        <v>0.82212356574721701</v>
      </c>
      <c r="CY354" s="5">
        <v>-0.594848623740586</v>
      </c>
      <c r="CZ354" s="5">
        <v>0.36879097637250202</v>
      </c>
      <c r="DA354" s="5">
        <v>-0.120160034508504</v>
      </c>
      <c r="DB354" s="5">
        <v>0.66314279722450398</v>
      </c>
      <c r="DC354" s="5">
        <v>-0.401126476366992</v>
      </c>
      <c r="DD354" s="5">
        <v>0.27769127598586402</v>
      </c>
      <c r="DE354" s="5">
        <v>-7.45810224965896E-2</v>
      </c>
      <c r="DF354" s="5">
        <v>0.31690497270488599</v>
      </c>
      <c r="DG354" s="5">
        <v>-5.8387527805582103E-2</v>
      </c>
      <c r="DH354" s="5">
        <v>0.31853750103036499</v>
      </c>
      <c r="DI354" s="5">
        <v>1.4179062925840801E-2</v>
      </c>
      <c r="DJ354" s="5">
        <v>1.2695618018099699E-2</v>
      </c>
      <c r="DK354" s="5">
        <v>1.03781419262934E-2</v>
      </c>
      <c r="DL354" s="5">
        <v>0.21171778051939699</v>
      </c>
      <c r="DM354" s="5">
        <v>2.9264500102943701E-2</v>
      </c>
      <c r="DN354" s="5">
        <v>-6.4383132081938105E-2</v>
      </c>
      <c r="DO354" s="5">
        <v>4.9471590607442002E-2</v>
      </c>
      <c r="DP354" s="5">
        <v>0.409790266542365</v>
      </c>
      <c r="DQ354" s="5">
        <v>-0.17664598082160399</v>
      </c>
      <c r="DR354" s="5">
        <v>0.127249134220252</v>
      </c>
      <c r="DS354" s="5">
        <v>0.111109774055261</v>
      </c>
      <c r="DT354" s="5">
        <v>0.35769872835644401</v>
      </c>
      <c r="DU354" s="5">
        <v>-0.21408320861442701</v>
      </c>
      <c r="DV354" s="5">
        <v>0.28749635298028497</v>
      </c>
      <c r="DW354" s="5">
        <v>-0.10527320939259099</v>
      </c>
      <c r="DX354" s="5">
        <v>-1.5253092845518001E-4</v>
      </c>
      <c r="DY354" s="5">
        <v>5.3694620663694501E-2</v>
      </c>
      <c r="DZ354" s="5">
        <v>-6.4653086350678707E-2</v>
      </c>
      <c r="EA354" s="5">
        <v>0.22042912809558099</v>
      </c>
      <c r="EB354" s="5">
        <v>0.50391030057333197</v>
      </c>
      <c r="EC354" s="5">
        <v>-0.29973048599105501</v>
      </c>
      <c r="ED354" s="5">
        <v>0.47944217442320303</v>
      </c>
      <c r="EE354" s="5">
        <v>-0.23190683783747501</v>
      </c>
      <c r="EF354" s="5">
        <v>0.129829937997409</v>
      </c>
      <c r="EG354" s="5">
        <v>2.11628257832235E-2</v>
      </c>
      <c r="EH354" s="5">
        <v>0.358856548350105</v>
      </c>
      <c r="EI354" s="5">
        <v>-0.137969556243764</v>
      </c>
      <c r="EJ354" s="5">
        <v>0.39931610011686802</v>
      </c>
      <c r="EK354" s="5">
        <v>-0.158528208480576</v>
      </c>
      <c r="EL354" s="5">
        <v>0.52411508366314496</v>
      </c>
      <c r="EM354" s="5">
        <v>-0.34766715016567401</v>
      </c>
      <c r="EN354" s="5">
        <v>0.56223375601673597</v>
      </c>
      <c r="EO354" s="5">
        <v>-0.31584975818543198</v>
      </c>
      <c r="EP354" s="5">
        <v>0.20363351616727801</v>
      </c>
      <c r="EQ354" s="5">
        <v>-7.3793508856676807E-2</v>
      </c>
      <c r="ER354" s="5">
        <v>0.47965368857840801</v>
      </c>
      <c r="ES354" s="5">
        <v>-0.237272480753217</v>
      </c>
      <c r="ET354" s="5">
        <v>0.28422477566055099</v>
      </c>
      <c r="EU354" s="5">
        <v>-0.102548759958571</v>
      </c>
      <c r="EV354" s="5">
        <v>0.46032487938938599</v>
      </c>
      <c r="EW354" s="5">
        <v>-0.29074756785313799</v>
      </c>
      <c r="EX354" s="5">
        <v>0.25980070081693302</v>
      </c>
      <c r="EY354" s="5">
        <v>-9.0605082614044305E-2</v>
      </c>
      <c r="EZ354" s="5">
        <v>0.47939852973188601</v>
      </c>
      <c r="FA354" s="5">
        <v>-0.284083962824972</v>
      </c>
      <c r="FB354" s="5">
        <v>0.13494713034851399</v>
      </c>
      <c r="FC354" s="5">
        <v>0.121571605746384</v>
      </c>
      <c r="FD354" s="5">
        <v>0.204383257888233</v>
      </c>
      <c r="FE354" s="5">
        <v>-4.0663635502997002E-2</v>
      </c>
      <c r="FF354" s="5">
        <v>5.3791596410083499E-2</v>
      </c>
      <c r="FG354" s="5">
        <v>0.173078048005219</v>
      </c>
      <c r="FH354" s="5">
        <v>0.54717051718452903</v>
      </c>
      <c r="FI354" s="5">
        <v>-0.46675978704618198</v>
      </c>
      <c r="FJ354" s="5">
        <v>0.43451815037012398</v>
      </c>
      <c r="FK354" s="5">
        <v>-0.10553886744546</v>
      </c>
      <c r="FL354" s="5">
        <v>2.49327911725955E-2</v>
      </c>
      <c r="FM354" s="5">
        <v>4.0520047310758298E-2</v>
      </c>
      <c r="FN354" s="5">
        <v>0.52645227128704297</v>
      </c>
      <c r="FO354" s="5">
        <v>-0.18858428408567399</v>
      </c>
      <c r="FP354" s="5">
        <v>0.635071495170626</v>
      </c>
      <c r="FQ354" s="5">
        <v>-0.38393848288779098</v>
      </c>
      <c r="FR354" s="5">
        <v>-3.3140625583188997E-2</v>
      </c>
      <c r="FS354" s="5">
        <v>-9.4371493746024895E-2</v>
      </c>
      <c r="FT354" s="5">
        <v>0.657620057289657</v>
      </c>
      <c r="FU354" s="5">
        <v>-0.38293362212989202</v>
      </c>
      <c r="FV354" s="5">
        <v>0.33829258476428797</v>
      </c>
      <c r="FW354" s="5">
        <v>-9.8410396013680498E-2</v>
      </c>
      <c r="FX354" s="5">
        <v>0.29117802858612102</v>
      </c>
      <c r="FY354" s="5">
        <v>-0.13963717524046301</v>
      </c>
      <c r="FZ354" s="5">
        <v>0.64380591835795098</v>
      </c>
      <c r="GA354" s="5">
        <v>-0.34986296005729101</v>
      </c>
      <c r="GB354" s="5">
        <v>9.9604805612371297E-2</v>
      </c>
      <c r="GC354" s="5">
        <v>0.23270697823519501</v>
      </c>
      <c r="GD354" s="5">
        <v>-0.116771411290484</v>
      </c>
      <c r="GE354" s="5">
        <v>0.16364280407508</v>
      </c>
      <c r="GF354" s="5">
        <v>0.179674833433248</v>
      </c>
      <c r="GG354" s="5">
        <v>9.2343113251040193E-2</v>
      </c>
      <c r="GH354" s="5">
        <v>-0.28638563332647599</v>
      </c>
      <c r="GI354" s="5">
        <v>0.258247559987481</v>
      </c>
      <c r="GJ354" s="5">
        <v>0.48973619179925898</v>
      </c>
      <c r="GK354" s="5">
        <v>-0.37445025970517098</v>
      </c>
      <c r="GL354" s="5">
        <v>0.16635545119105299</v>
      </c>
      <c r="GM354" s="5">
        <v>-1.37895242167471E-3</v>
      </c>
      <c r="GN354" s="5">
        <v>0.168998252584139</v>
      </c>
      <c r="GO354" s="5">
        <v>0.16008112938377</v>
      </c>
      <c r="GP354" s="5">
        <v>0.56906016601957998</v>
      </c>
      <c r="GQ354" s="5">
        <v>-0.32309973630577699</v>
      </c>
      <c r="GR354" s="5">
        <v>0.51375736313831599</v>
      </c>
      <c r="GS354" s="5">
        <v>-0.42170297106705101</v>
      </c>
      <c r="GT354" s="5">
        <v>0.53519991855677196</v>
      </c>
      <c r="GU354" s="5">
        <v>-0.25658819879491401</v>
      </c>
      <c r="GV354" s="5">
        <v>0.26642929950549199</v>
      </c>
      <c r="GW354" s="5">
        <v>-9.8325130626520305E-2</v>
      </c>
      <c r="GX354" s="5">
        <v>0.76260074659572197</v>
      </c>
      <c r="GY354" s="5">
        <v>-0.57781201285825001</v>
      </c>
      <c r="GZ354" s="5">
        <v>-0.23450378319545201</v>
      </c>
      <c r="HA354" s="5">
        <v>0.29760952413077402</v>
      </c>
      <c r="HB354" s="5">
        <v>0.215166436618348</v>
      </c>
      <c r="HC354" s="5">
        <v>4.4335343083148099E-2</v>
      </c>
      <c r="HD354" s="5">
        <v>0.227856370722685</v>
      </c>
      <c r="HE354" s="5">
        <v>0.16591745205150199</v>
      </c>
      <c r="HF354" s="5">
        <v>-2.1489991022687099E-2</v>
      </c>
      <c r="HG354" s="5">
        <v>6.8639939001527095E-2</v>
      </c>
      <c r="HH354" s="5">
        <v>-4.38674216116927E-2</v>
      </c>
      <c r="HI354" s="5">
        <v>0.20557110143408999</v>
      </c>
      <c r="HJ354" s="5">
        <v>-1.29962355963484E-2</v>
      </c>
      <c r="HK354" s="5">
        <v>4.7766099122186302E-2</v>
      </c>
      <c r="HL354" s="5">
        <v>0.48196609843687199</v>
      </c>
      <c r="HM354" s="5">
        <v>-0.18040430666871901</v>
      </c>
      <c r="HN354" s="5">
        <v>5.6057179132036901E-2</v>
      </c>
      <c r="HO354" s="5">
        <v>0.15619155144496699</v>
      </c>
      <c r="HP354" s="5">
        <v>0.42443543755458801</v>
      </c>
      <c r="HQ354" s="5">
        <v>-0.171631157578051</v>
      </c>
      <c r="HR354" s="5">
        <v>0.59526899851684301</v>
      </c>
      <c r="HS354" s="5">
        <v>-0.37028886747828299</v>
      </c>
      <c r="HT354" s="5">
        <v>3.8089467882132702E-2</v>
      </c>
      <c r="HU354" s="5">
        <v>0.21962000265145001</v>
      </c>
      <c r="HV354" s="5">
        <v>0.61102884442539196</v>
      </c>
      <c r="HW354" s="5">
        <v>-0.432767856686115</v>
      </c>
      <c r="HX354" s="5">
        <v>0.56057007517119495</v>
      </c>
      <c r="HY354" s="5">
        <v>-0.36374586068943399</v>
      </c>
      <c r="HZ354" s="5">
        <v>-0.199876647952658</v>
      </c>
      <c r="IA354" s="5">
        <v>0.37632032463028797</v>
      </c>
      <c r="IB354" s="5">
        <v>-0.37999762743899002</v>
      </c>
      <c r="IC354" s="5">
        <v>0.33526676118224602</v>
      </c>
      <c r="ID354" s="5">
        <v>0.25866779351917202</v>
      </c>
      <c r="IE354" s="5">
        <v>0.102989831467478</v>
      </c>
      <c r="IF354" s="5">
        <v>0.53493329153327296</v>
      </c>
      <c r="IG354" s="5">
        <v>-0.32940867199007601</v>
      </c>
      <c r="IH354" s="5">
        <v>0.17425546665408301</v>
      </c>
      <c r="II354" s="5">
        <v>-3.3776126523142297E-2</v>
      </c>
      <c r="IJ354" s="5">
        <v>0.39919249439506499</v>
      </c>
      <c r="IK354" s="5">
        <v>-0.36003710203421002</v>
      </c>
      <c r="IL354" s="5">
        <v>0.34072854121551899</v>
      </c>
      <c r="IM354" s="5">
        <v>8.3613517945307896E-3</v>
      </c>
      <c r="IN354" s="5">
        <v>0.57549962394459098</v>
      </c>
      <c r="IO354" s="5">
        <v>-0.40671254246107602</v>
      </c>
      <c r="IP354" s="5">
        <v>0.32629070147711198</v>
      </c>
      <c r="IQ354" s="5">
        <v>3.46601423534421E-2</v>
      </c>
      <c r="IR354" s="5">
        <v>0.31138014137383602</v>
      </c>
      <c r="IS354" s="5">
        <v>-6.28976532639592E-2</v>
      </c>
      <c r="IT354" s="5">
        <v>0.62941478633262804</v>
      </c>
      <c r="IU354" s="5">
        <v>-0.45192427437369498</v>
      </c>
      <c r="IV354" s="5">
        <v>0.43646838395863102</v>
      </c>
      <c r="IW354" s="5">
        <v>-0.28678198086854001</v>
      </c>
      <c r="IX354" s="5">
        <v>0.37545564852071001</v>
      </c>
      <c r="IY354" s="5">
        <v>-0.20974168181276701</v>
      </c>
      <c r="IZ354" s="5">
        <v>1.48416723889252E-2</v>
      </c>
      <c r="JA354" s="5">
        <v>0.117342060710507</v>
      </c>
      <c r="JB354" s="5">
        <v>-0.112514796274006</v>
      </c>
      <c r="JC354" s="5">
        <v>8.2493698861075396E-2</v>
      </c>
      <c r="JD354" s="5">
        <v>0.33084580879451098</v>
      </c>
      <c r="JE354" s="5">
        <v>6.7839635128361997E-2</v>
      </c>
      <c r="JF354" s="5">
        <v>0.26926959640385401</v>
      </c>
      <c r="JG354" s="5">
        <v>-0.21848798499240701</v>
      </c>
      <c r="JH354" s="5">
        <v>0.21447219615107599</v>
      </c>
      <c r="JI354" s="5">
        <v>-5.9337430146659403E-2</v>
      </c>
      <c r="JJ354" s="5">
        <v>0.40652456605815201</v>
      </c>
      <c r="JK354" s="5">
        <v>-8.3010723785335805E-2</v>
      </c>
      <c r="JL354" s="5">
        <v>0.47195271738372702</v>
      </c>
      <c r="JM354" s="5">
        <v>-0.141166304600957</v>
      </c>
      <c r="JN354" s="5">
        <v>0.383187114062564</v>
      </c>
      <c r="JO354" s="5">
        <v>-0.22290215960492399</v>
      </c>
      <c r="JP354" s="5">
        <v>0.51533408891839905</v>
      </c>
      <c r="JQ354" s="5">
        <v>-0.23822734659056799</v>
      </c>
      <c r="JR354" s="5">
        <v>0.51709734711538002</v>
      </c>
      <c r="JS354" s="5">
        <v>-0.3503788429843</v>
      </c>
      <c r="JT354" s="5">
        <v>0.196568632837826</v>
      </c>
      <c r="JU354" s="5">
        <v>-6.1877772275271498E-2</v>
      </c>
      <c r="JV354" s="5">
        <v>0.466085670184055</v>
      </c>
      <c r="JW354" s="5">
        <v>-0.246100648949441</v>
      </c>
      <c r="JX354" s="5">
        <v>-7.5414836507417607E-2</v>
      </c>
      <c r="JY354" s="5">
        <v>0.181487449064966</v>
      </c>
      <c r="JZ354" s="5">
        <v>0.24455659512588299</v>
      </c>
      <c r="KA354" s="5">
        <v>-5.7382434152412502E-2</v>
      </c>
      <c r="KB354" s="5">
        <v>-0.131857629822483</v>
      </c>
      <c r="KC354" s="5">
        <v>0.201733747010507</v>
      </c>
      <c r="KD354" s="5">
        <v>0.23577480053765801</v>
      </c>
      <c r="KE354" s="5">
        <v>0.11437260216631601</v>
      </c>
      <c r="KF354" s="5">
        <v>0.53723967572635001</v>
      </c>
      <c r="KG354" s="5">
        <v>-0.41748097378597299</v>
      </c>
      <c r="KH354" s="5">
        <v>0.64081423453177599</v>
      </c>
      <c r="KI354" s="5">
        <v>-0.349052837986284</v>
      </c>
      <c r="KJ354" s="5">
        <v>0.46990422513577201</v>
      </c>
      <c r="KK354" s="5">
        <v>-0.175964533481134</v>
      </c>
      <c r="KL354" s="5">
        <v>0.441367683541664</v>
      </c>
      <c r="KM354" s="5">
        <v>-0.340040841789083</v>
      </c>
      <c r="KN354" s="5">
        <v>-5.2261136219436601E-2</v>
      </c>
      <c r="KO354" s="5">
        <v>0.24951658665367099</v>
      </c>
      <c r="KP354" s="5">
        <v>-0.27234890358136699</v>
      </c>
      <c r="KQ354" s="5">
        <v>0.19542657104255601</v>
      </c>
      <c r="KR354" s="5">
        <v>0.296829841146038</v>
      </c>
      <c r="KS354" s="5">
        <v>5.5406410295868297E-4</v>
      </c>
      <c r="KT354" s="5">
        <v>0.57384354524098302</v>
      </c>
      <c r="KU354" s="5">
        <v>-0.32045312066431503</v>
      </c>
      <c r="KV354" s="5">
        <v>0.37811387112647699</v>
      </c>
      <c r="KW354" s="5">
        <v>-0.17134673766394301</v>
      </c>
      <c r="KX354" s="5">
        <v>0.39738546373580702</v>
      </c>
      <c r="KY354" s="5">
        <v>-0.17519019890550999</v>
      </c>
      <c r="KZ354" s="5">
        <v>0.22962759002257399</v>
      </c>
      <c r="LA354" s="5">
        <v>-4.9810943498500397E-2</v>
      </c>
      <c r="LB354" s="5">
        <v>0.40795596435015602</v>
      </c>
      <c r="LC354" s="5">
        <v>-0.184385169243164</v>
      </c>
      <c r="LD354" s="5">
        <v>0.47417953437721</v>
      </c>
      <c r="LE354" s="5">
        <v>-0.27999495224438598</v>
      </c>
      <c r="LF354" s="5">
        <v>0.113615257109572</v>
      </c>
      <c r="LG354" s="5">
        <v>0.16539244776662701</v>
      </c>
      <c r="LH354" s="5">
        <v>0.40567823217190402</v>
      </c>
      <c r="LI354" s="5">
        <v>-0.16254263688471501</v>
      </c>
      <c r="LJ354" s="5">
        <v>7.9059400818259296E-2</v>
      </c>
      <c r="LK354" s="5">
        <v>0.178917761357894</v>
      </c>
      <c r="LL354" s="5">
        <v>0.20851672934857099</v>
      </c>
      <c r="LM354" s="5">
        <v>-5.1191297397737603E-2</v>
      </c>
      <c r="LN354" s="5">
        <v>0.278764176717269</v>
      </c>
      <c r="LO354" s="5">
        <v>-0.12356957977877001</v>
      </c>
      <c r="LP354" s="5">
        <v>0.42496104733835699</v>
      </c>
      <c r="LQ354" s="5">
        <v>-0.30868642759523002</v>
      </c>
      <c r="LR354" s="5">
        <v>-0.16374547740517501</v>
      </c>
      <c r="LS354" s="5">
        <v>0.27511040245684598</v>
      </c>
      <c r="LT354" s="5">
        <v>-8.6186085962407899E-2</v>
      </c>
      <c r="LU354" s="5">
        <v>0.25728823694390601</v>
      </c>
      <c r="LV354" s="5">
        <v>-8.1566408189200301E-2</v>
      </c>
      <c r="LW354" s="5">
        <v>6.3149388902308506E-2</v>
      </c>
      <c r="LX354" s="5">
        <v>0.62126679585674205</v>
      </c>
      <c r="LY354" s="5">
        <v>-0.338204407439196</v>
      </c>
      <c r="LZ354" s="5">
        <v>0.51930016899270004</v>
      </c>
      <c r="MA354" s="5">
        <v>-0.36283980401007798</v>
      </c>
      <c r="MB354" s="5">
        <v>0.48430727871677998</v>
      </c>
      <c r="MC354" s="5">
        <v>-0.30892893091824097</v>
      </c>
      <c r="MD354" s="5">
        <v>0.57401202983798105</v>
      </c>
      <c r="ME354" s="5">
        <v>-0.51078536173954903</v>
      </c>
      <c r="MF354" s="5">
        <v>-0.17239648953769099</v>
      </c>
      <c r="MG354" s="5">
        <v>0.209986831395861</v>
      </c>
      <c r="MH354" s="5">
        <v>0.346967216886861</v>
      </c>
      <c r="MI354" s="5">
        <v>8.1303121639593301E-2</v>
      </c>
      <c r="MJ354" s="5">
        <v>0.10784279196919</v>
      </c>
      <c r="MK354" s="5">
        <v>5.4907841522258402E-2</v>
      </c>
      <c r="ML354" s="5">
        <v>0.31657232259368601</v>
      </c>
      <c r="MM354" s="5">
        <v>-0.19059563085563699</v>
      </c>
      <c r="MN354" s="5">
        <v>0.14216906075297001</v>
      </c>
      <c r="MO354" s="5">
        <v>-6.0064736368834696E-3</v>
      </c>
      <c r="MP354" s="5">
        <v>1</v>
      </c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</row>
    <row r="355" spans="1:389" x14ac:dyDescent="0.45">
      <c r="A355" s="4" t="str">
        <f ca="1">"TUN / beta2dist in "&amp;CELL("address",'damages-1990'!$K$178)</f>
        <v>TUN / beta2dist in '[BHM betas v3pd.xlsx]damages-1990'!$K$178</v>
      </c>
      <c r="B355" s="6">
        <v>-0.145133845376026</v>
      </c>
      <c r="C355" s="5">
        <v>0.18343535061594499</v>
      </c>
      <c r="D355" s="5">
        <v>-5.9655952569535202E-2</v>
      </c>
      <c r="E355" s="5">
        <v>0.15938800168161199</v>
      </c>
      <c r="F355" s="5">
        <v>-6.7525597585207695E-2</v>
      </c>
      <c r="G355" s="5">
        <v>7.0952763004130004E-2</v>
      </c>
      <c r="H355" s="5">
        <v>0.14340142644082601</v>
      </c>
      <c r="I355" s="5">
        <v>-0.20727684339403399</v>
      </c>
      <c r="J355" s="5">
        <v>-0.15337706730053899</v>
      </c>
      <c r="K355" s="5">
        <v>0.24769705924078</v>
      </c>
      <c r="L355" s="5">
        <v>-0.21378464737980499</v>
      </c>
      <c r="M355" s="5">
        <v>0.282718286795205</v>
      </c>
      <c r="N355" s="5">
        <v>0.232026279609059</v>
      </c>
      <c r="O355" s="5">
        <v>-0.37294544178049499</v>
      </c>
      <c r="P355" s="5">
        <v>-1.65493386694162E-2</v>
      </c>
      <c r="Q355" s="5">
        <v>8.8303748981960306E-2</v>
      </c>
      <c r="R355" s="5">
        <v>-0.16295058708851701</v>
      </c>
      <c r="S355" s="5">
        <v>0.240503977420711</v>
      </c>
      <c r="T355" s="5">
        <v>0.148780642015656</v>
      </c>
      <c r="U355" s="5">
        <v>-0.20775553381961101</v>
      </c>
      <c r="V355" s="5">
        <v>-1.5931765367497099E-2</v>
      </c>
      <c r="W355" s="5">
        <v>-6.4445042628693106E-2</v>
      </c>
      <c r="X355" s="5">
        <v>-3.10133572812522E-3</v>
      </c>
      <c r="Y355" s="5">
        <v>7.4330754560113205E-2</v>
      </c>
      <c r="Z355" s="5">
        <v>1.19623830721803E-2</v>
      </c>
      <c r="AA355" s="5">
        <v>-3.52987500342423E-2</v>
      </c>
      <c r="AB355" s="5">
        <v>-0.31197683544177002</v>
      </c>
      <c r="AC355" s="5">
        <v>0.48612850460849799</v>
      </c>
      <c r="AD355" s="5">
        <v>-0.36277500658547701</v>
      </c>
      <c r="AE355" s="5">
        <v>0.50616608633646898</v>
      </c>
      <c r="AF355" s="5">
        <v>-0.21386449401723001</v>
      </c>
      <c r="AG355" s="5">
        <v>0.313522185794543</v>
      </c>
      <c r="AH355" s="5">
        <v>1.3047842985328399E-2</v>
      </c>
      <c r="AI355" s="5">
        <v>-4.2319619710964998E-2</v>
      </c>
      <c r="AJ355" s="5">
        <v>-0.215701163183348</v>
      </c>
      <c r="AK355" s="5">
        <v>0.31778425077428601</v>
      </c>
      <c r="AL355" s="5">
        <v>5.7074065136480202E-2</v>
      </c>
      <c r="AM355" s="5">
        <v>-8.4643874379114904E-4</v>
      </c>
      <c r="AN355" s="5">
        <v>0.14569724253914401</v>
      </c>
      <c r="AO355" s="5">
        <v>-0.21762748277791</v>
      </c>
      <c r="AP355" s="5">
        <v>-0.11767163089272301</v>
      </c>
      <c r="AQ355" s="5">
        <v>0.110486081680284</v>
      </c>
      <c r="AR355" s="5">
        <v>-0.18084484211462301</v>
      </c>
      <c r="AS355" s="5">
        <v>0.33276295435083397</v>
      </c>
      <c r="AT355" s="5">
        <v>-3.1927855789498E-2</v>
      </c>
      <c r="AU355" s="5">
        <v>0.10226675290923</v>
      </c>
      <c r="AV355" s="5">
        <v>-0.27214476965449302</v>
      </c>
      <c r="AW355" s="5">
        <v>0.50134691127661302</v>
      </c>
      <c r="AX355" s="5">
        <v>-0.16340295629072399</v>
      </c>
      <c r="AY355" s="5">
        <v>0.31908691643638598</v>
      </c>
      <c r="AZ355" s="5">
        <v>-8.0389450292839795E-2</v>
      </c>
      <c r="BA355" s="5">
        <v>0.194229785096839</v>
      </c>
      <c r="BB355" s="5">
        <v>-0.12884819374428899</v>
      </c>
      <c r="BC355" s="5">
        <v>0.22908578487004799</v>
      </c>
      <c r="BD355" s="5">
        <v>-0.12836248536106801</v>
      </c>
      <c r="BE355" s="5">
        <v>0.15121714718475901</v>
      </c>
      <c r="BF355" s="5">
        <v>-0.13398871809162199</v>
      </c>
      <c r="BG355" s="5">
        <v>0.20527435916769299</v>
      </c>
      <c r="BH355" s="5">
        <v>-0.18213952129552</v>
      </c>
      <c r="BI355" s="5">
        <v>0.345190759421242</v>
      </c>
      <c r="BJ355" s="5">
        <v>2.73538039241004E-2</v>
      </c>
      <c r="BK355" s="5">
        <v>-0.143287104180924</v>
      </c>
      <c r="BL355" s="5">
        <v>0.13613209909206</v>
      </c>
      <c r="BM355" s="5">
        <v>-0.20750927030699401</v>
      </c>
      <c r="BN355" s="5">
        <v>-7.8378201049542594E-3</v>
      </c>
      <c r="BO355" s="5">
        <v>-4.6122104793311199E-2</v>
      </c>
      <c r="BP355" s="5">
        <v>5.3409255569009099E-2</v>
      </c>
      <c r="BQ355" s="5">
        <v>-0.16104225525574301</v>
      </c>
      <c r="BR355" s="5">
        <v>-0.28073622524428299</v>
      </c>
      <c r="BS355" s="5">
        <v>0.41660842274365401</v>
      </c>
      <c r="BT355" s="5">
        <v>-0.30644756949440399</v>
      </c>
      <c r="BU355" s="5">
        <v>0.51677624842625403</v>
      </c>
      <c r="BV355" s="5">
        <v>-0.13850567905346101</v>
      </c>
      <c r="BW355" s="5">
        <v>0.27128824197045798</v>
      </c>
      <c r="BX355" s="5">
        <v>-0.19256647964839599</v>
      </c>
      <c r="BY355" s="5">
        <v>0.36216226157563097</v>
      </c>
      <c r="BZ355" s="5">
        <v>-0.163811255931751</v>
      </c>
      <c r="CA355" s="5">
        <v>0.26773138960693299</v>
      </c>
      <c r="CB355" s="5">
        <v>-6.5296975311656902E-2</v>
      </c>
      <c r="CC355" s="5">
        <v>0.202162960481721</v>
      </c>
      <c r="CD355" s="5">
        <v>0.145995859416824</v>
      </c>
      <c r="CE355" s="5">
        <v>-0.110213372710272</v>
      </c>
      <c r="CF355" s="5">
        <v>-0.131203826871786</v>
      </c>
      <c r="CG355" s="5">
        <v>0.26094263919105898</v>
      </c>
      <c r="CH355" s="5">
        <v>9.1582598357647496E-2</v>
      </c>
      <c r="CI355" s="5">
        <v>2.6414238904511E-3</v>
      </c>
      <c r="CJ355" s="5">
        <v>-0.28720049996263802</v>
      </c>
      <c r="CK355" s="5">
        <v>0.358952587451004</v>
      </c>
      <c r="CL355" s="5">
        <v>0.113721756879107</v>
      </c>
      <c r="CM355" s="5">
        <v>-0.16320084124818801</v>
      </c>
      <c r="CN355" s="5">
        <v>6.2345985316346698E-2</v>
      </c>
      <c r="CO355" s="5">
        <v>-0.10767652138450801</v>
      </c>
      <c r="CP355" s="5">
        <v>-0.105738574994989</v>
      </c>
      <c r="CQ355" s="5">
        <v>0.20583668432899599</v>
      </c>
      <c r="CR355" s="5">
        <v>3.5821308476379703E-2</v>
      </c>
      <c r="CS355" s="5">
        <v>5.81722172347185E-2</v>
      </c>
      <c r="CT355" s="5">
        <v>-3.51357837493304E-2</v>
      </c>
      <c r="CU355" s="5">
        <v>3.2643340532543502E-2</v>
      </c>
      <c r="CV355" s="5">
        <v>-7.3784403563914303E-2</v>
      </c>
      <c r="CW355" s="5">
        <v>0.186106250579434</v>
      </c>
      <c r="CX355" s="5">
        <v>-0.62166751720790203</v>
      </c>
      <c r="CY355" s="5">
        <v>0.80763440281167298</v>
      </c>
      <c r="CZ355" s="5">
        <v>-9.2316278990821801E-2</v>
      </c>
      <c r="DA355" s="5">
        <v>0.17833208638128201</v>
      </c>
      <c r="DB355" s="5">
        <v>-0.37833013072043797</v>
      </c>
      <c r="DC355" s="5">
        <v>0.54922046557861504</v>
      </c>
      <c r="DD355" s="5">
        <v>-0.143518622049219</v>
      </c>
      <c r="DE355" s="5">
        <v>0.26162048293289197</v>
      </c>
      <c r="DF355" s="5">
        <v>-2.4551561466895799E-2</v>
      </c>
      <c r="DG355" s="5">
        <v>9.89595138864552E-2</v>
      </c>
      <c r="DH355" s="5">
        <v>-9.5515978421737896E-2</v>
      </c>
      <c r="DI355" s="5">
        <v>0.116197393328777</v>
      </c>
      <c r="DJ355" s="5">
        <v>-0.20654612352501001</v>
      </c>
      <c r="DK355" s="5">
        <v>0.20007737390336799</v>
      </c>
      <c r="DL355" s="5">
        <v>7.2270435612460798E-2</v>
      </c>
      <c r="DM355" s="5">
        <v>8.3311428739558505E-2</v>
      </c>
      <c r="DN355" s="5">
        <v>-0.17088559406052001</v>
      </c>
      <c r="DO355" s="5">
        <v>0.14146671063223901</v>
      </c>
      <c r="DP355" s="5">
        <v>-0.15228307587172801</v>
      </c>
      <c r="DQ355" s="5">
        <v>0.20062342209140799</v>
      </c>
      <c r="DR355" s="5">
        <v>-3.0796156889387801E-2</v>
      </c>
      <c r="DS355" s="5">
        <v>2.2208065023721201E-2</v>
      </c>
      <c r="DT355" s="5">
        <v>-0.25000097345653599</v>
      </c>
      <c r="DU355" s="5">
        <v>0.28970853194393498</v>
      </c>
      <c r="DV355" s="5">
        <v>-0.113443280757898</v>
      </c>
      <c r="DW355" s="5">
        <v>0.241339441909803</v>
      </c>
      <c r="DX355" s="5">
        <v>-8.7894440336129198E-2</v>
      </c>
      <c r="DY355" s="5">
        <v>0.118619883066027</v>
      </c>
      <c r="DZ355" s="5">
        <v>8.5411024589684997E-2</v>
      </c>
      <c r="EA355" s="5">
        <v>-0.18346367409182901</v>
      </c>
      <c r="EB355" s="5">
        <v>-0.338939668548281</v>
      </c>
      <c r="EC355" s="5">
        <v>0.476172664211376</v>
      </c>
      <c r="ED355" s="5">
        <v>-0.28186119563676598</v>
      </c>
      <c r="EE355" s="5">
        <v>0.39801685235211498</v>
      </c>
      <c r="EF355" s="5">
        <v>2.2141443143373098E-2</v>
      </c>
      <c r="EG355" s="5">
        <v>5.7631787105663003E-2</v>
      </c>
      <c r="EH355" s="5">
        <v>-9.4707582993672906E-2</v>
      </c>
      <c r="EI355" s="5">
        <v>0.26825483900438402</v>
      </c>
      <c r="EJ355" s="5">
        <v>-0.16387640415082499</v>
      </c>
      <c r="EK355" s="5">
        <v>0.31365495534644</v>
      </c>
      <c r="EL355" s="5">
        <v>-0.21656377056999601</v>
      </c>
      <c r="EM355" s="5">
        <v>0.40050583567181602</v>
      </c>
      <c r="EN355" s="5">
        <v>-0.329119776867766</v>
      </c>
      <c r="EO355" s="5">
        <v>0.38747646909311201</v>
      </c>
      <c r="EP355" s="5">
        <v>-5.4504018194295102E-2</v>
      </c>
      <c r="EQ355" s="5">
        <v>0.16197745289170101</v>
      </c>
      <c r="ER355" s="5">
        <v>-0.191662697072432</v>
      </c>
      <c r="ES355" s="5">
        <v>0.30977016094900101</v>
      </c>
      <c r="ET355" s="5">
        <v>4.5411098790166297E-2</v>
      </c>
      <c r="EU355" s="5">
        <v>0.100921273171099</v>
      </c>
      <c r="EV355" s="5">
        <v>-0.18472093950087201</v>
      </c>
      <c r="EW355" s="5">
        <v>0.36009803137588198</v>
      </c>
      <c r="EX355" s="5">
        <v>7.4112774313848898E-2</v>
      </c>
      <c r="EY355" s="5">
        <v>7.2295099955656805E-2</v>
      </c>
      <c r="EZ355" s="5">
        <v>-0.233299056710462</v>
      </c>
      <c r="FA355" s="5">
        <v>0.41129326135546701</v>
      </c>
      <c r="FB355" s="5">
        <v>2.8301376647109099E-3</v>
      </c>
      <c r="FC355" s="5">
        <v>-2.1824081671904302E-2</v>
      </c>
      <c r="FD355" s="5">
        <v>-1.03396085062491E-2</v>
      </c>
      <c r="FE355" s="5">
        <v>0.13610292869754601</v>
      </c>
      <c r="FF355" s="5">
        <v>4.5983912971392801E-2</v>
      </c>
      <c r="FG355" s="5">
        <v>-7.4864857832319207E-2</v>
      </c>
      <c r="FH355" s="5">
        <v>-0.16280271255949999</v>
      </c>
      <c r="FI355" s="5">
        <v>0.39956467707002402</v>
      </c>
      <c r="FJ355" s="5">
        <v>-0.18042756445987401</v>
      </c>
      <c r="FK355" s="5">
        <v>0.26671912398263697</v>
      </c>
      <c r="FL355" s="5">
        <v>-6.6520941100966596E-2</v>
      </c>
      <c r="FM355" s="5">
        <v>9.3369641149409197E-2</v>
      </c>
      <c r="FN355" s="5">
        <v>-0.30757362594321802</v>
      </c>
      <c r="FO355" s="5">
        <v>0.38186606759318897</v>
      </c>
      <c r="FP355" s="5">
        <v>-0.37576986908084198</v>
      </c>
      <c r="FQ355" s="5">
        <v>0.51556219158021999</v>
      </c>
      <c r="FR355" s="5">
        <v>-1.6087218642818601E-2</v>
      </c>
      <c r="FS355" s="5">
        <v>9.4123619867566594E-2</v>
      </c>
      <c r="FT355" s="5">
        <v>-0.37575103653108299</v>
      </c>
      <c r="FU355" s="5">
        <v>0.51731566768396597</v>
      </c>
      <c r="FV355" s="5">
        <v>-0.12621479270688901</v>
      </c>
      <c r="FW355" s="5">
        <v>0.19930652143693101</v>
      </c>
      <c r="FX355" s="5">
        <v>-5.1416999701180501E-2</v>
      </c>
      <c r="FY355" s="5">
        <v>0.179260720595737</v>
      </c>
      <c r="FZ355" s="5">
        <v>-0.34093551877418599</v>
      </c>
      <c r="GA355" s="5">
        <v>0.48954354530052502</v>
      </c>
      <c r="GB355" s="5">
        <v>1.2681800294468601E-2</v>
      </c>
      <c r="GC355" s="5">
        <v>-5.96311158156555E-2</v>
      </c>
      <c r="GD355" s="5">
        <v>1.09241749484671E-2</v>
      </c>
      <c r="GE355" s="5">
        <v>-7.3783817184249999E-3</v>
      </c>
      <c r="GF355" s="5">
        <v>0.15963636037034001</v>
      </c>
      <c r="GG355" s="5">
        <v>-3.2001111127344703E-2</v>
      </c>
      <c r="GH355" s="5">
        <v>0.238423210215023</v>
      </c>
      <c r="GI355" s="5">
        <v>-0.315407369130068</v>
      </c>
      <c r="GJ355" s="5">
        <v>-0.18763549927797599</v>
      </c>
      <c r="GK355" s="5">
        <v>0.39050555142284799</v>
      </c>
      <c r="GL355" s="5">
        <v>-5.0173359767828697E-2</v>
      </c>
      <c r="GM355" s="5">
        <v>0.11137834033605</v>
      </c>
      <c r="GN355" s="5">
        <v>-2.45315890386682E-2</v>
      </c>
      <c r="GO355" s="5">
        <v>1.43786846229627E-2</v>
      </c>
      <c r="GP355" s="5">
        <v>-0.32365652290457803</v>
      </c>
      <c r="GQ355" s="5">
        <v>0.47573798158818298</v>
      </c>
      <c r="GR355" s="5">
        <v>-0.23719852412828099</v>
      </c>
      <c r="GS355" s="5">
        <v>0.48594450708078601</v>
      </c>
      <c r="GT355" s="5">
        <v>-0.27578304460699499</v>
      </c>
      <c r="GU355" s="5">
        <v>0.360531510518809</v>
      </c>
      <c r="GV355" s="5">
        <v>-7.0025863320676396E-2</v>
      </c>
      <c r="GW355" s="5">
        <v>0.208951350370044</v>
      </c>
      <c r="GX355" s="5">
        <v>-0.53531269227054401</v>
      </c>
      <c r="GY355" s="5">
        <v>0.73039237539105695</v>
      </c>
      <c r="GZ355" s="5">
        <v>0.14985903608373799</v>
      </c>
      <c r="HA355" s="5">
        <v>-0.224317729748084</v>
      </c>
      <c r="HB355" s="5">
        <v>0.15506925773566099</v>
      </c>
      <c r="HC355" s="5">
        <v>-8.3776325491417794E-2</v>
      </c>
      <c r="HD355" s="5">
        <v>-7.0860561673754999E-2</v>
      </c>
      <c r="HE355" s="5">
        <v>4.32559142300862E-2</v>
      </c>
      <c r="HF355" s="5">
        <v>-0.12651059695134401</v>
      </c>
      <c r="HG355" s="5">
        <v>0.116554117515592</v>
      </c>
      <c r="HH355" s="5">
        <v>5.2045594890640999E-2</v>
      </c>
      <c r="HI355" s="5">
        <v>-9.8926580605706194E-2</v>
      </c>
      <c r="HJ355" s="5">
        <v>-0.15939921417348499</v>
      </c>
      <c r="HK355" s="5">
        <v>0.14729312822080801</v>
      </c>
      <c r="HL355" s="5">
        <v>-0.202052103129434</v>
      </c>
      <c r="HM355" s="5">
        <v>0.28994332217731</v>
      </c>
      <c r="HN355" s="5">
        <v>1.77503092757398E-3</v>
      </c>
      <c r="HO355" s="5">
        <v>-2.61631799609745E-2</v>
      </c>
      <c r="HP355" s="5">
        <v>-0.13292902303436399</v>
      </c>
      <c r="HQ355" s="5">
        <v>0.314838434423867</v>
      </c>
      <c r="HR355" s="5">
        <v>-0.210244240172209</v>
      </c>
      <c r="HS355" s="5">
        <v>0.369483952956628</v>
      </c>
      <c r="HT355" s="5">
        <v>5.5283990334929103E-2</v>
      </c>
      <c r="HU355" s="5">
        <v>-9.4457464106654704E-2</v>
      </c>
      <c r="HV355" s="5">
        <v>-0.45020299102123301</v>
      </c>
      <c r="HW355" s="5">
        <v>0.64314956918492705</v>
      </c>
      <c r="HX355" s="5">
        <v>-0.264501647526312</v>
      </c>
      <c r="HY355" s="5">
        <v>0.47367192721297002</v>
      </c>
      <c r="HZ355" s="5">
        <v>0.21260512717433999</v>
      </c>
      <c r="IA355" s="5">
        <v>-0.29213893286736597</v>
      </c>
      <c r="IB355" s="5">
        <v>0.244803260752329</v>
      </c>
      <c r="IC355" s="5">
        <v>-0.24775517430631899</v>
      </c>
      <c r="ID355" s="5">
        <v>7.0192157218693096E-2</v>
      </c>
      <c r="IE355" s="5">
        <v>-1.6509087683063101E-2</v>
      </c>
      <c r="IF355" s="5">
        <v>-0.292533235260311</v>
      </c>
      <c r="IG355" s="5">
        <v>0.48068435873011001</v>
      </c>
      <c r="IH355" s="5">
        <v>2.7224323133272898E-3</v>
      </c>
      <c r="II355" s="5">
        <v>0.101663242479567</v>
      </c>
      <c r="IJ355" s="5">
        <v>-0.21751548578535501</v>
      </c>
      <c r="IK355" s="5">
        <v>0.366005851899875</v>
      </c>
      <c r="IL355" s="5">
        <v>-2.1958931415374201E-2</v>
      </c>
      <c r="IM355" s="5">
        <v>7.8468418547101501E-2</v>
      </c>
      <c r="IN355" s="5">
        <v>-0.217377352970551</v>
      </c>
      <c r="IO355" s="5">
        <v>0.42209919459957701</v>
      </c>
      <c r="IP355" s="5">
        <v>-8.7226306356289803E-3</v>
      </c>
      <c r="IQ355" s="5">
        <v>3.3803701504094397E-2</v>
      </c>
      <c r="IR355" s="5">
        <v>-0.113408012422442</v>
      </c>
      <c r="IS355" s="5">
        <v>0.101245107144084</v>
      </c>
      <c r="IT355" s="5">
        <v>-0.43364511841166697</v>
      </c>
      <c r="IU355" s="5">
        <v>0.63576495493551199</v>
      </c>
      <c r="IV355" s="5">
        <v>-0.31786401047344398</v>
      </c>
      <c r="IW355" s="5">
        <v>0.50450543868969799</v>
      </c>
      <c r="IX355" s="5">
        <v>-0.16508338543416301</v>
      </c>
      <c r="IY355" s="5">
        <v>0.33491249006007101</v>
      </c>
      <c r="IZ355" s="5">
        <v>3.2256457497336702E-3</v>
      </c>
      <c r="JA355" s="5">
        <v>-1.6974528731123598E-2</v>
      </c>
      <c r="JB355" s="5">
        <v>-0.113619167101907</v>
      </c>
      <c r="JC355" s="5">
        <v>9.1516930450861594E-2</v>
      </c>
      <c r="JD355" s="5">
        <v>-0.125288668113754</v>
      </c>
      <c r="JE355" s="5">
        <v>0.15198286822134299</v>
      </c>
      <c r="JF355" s="5">
        <v>-7.0304300096974401E-2</v>
      </c>
      <c r="JG355" s="5">
        <v>0.22423141976038299</v>
      </c>
      <c r="JH355" s="5">
        <v>-0.119689487751115</v>
      </c>
      <c r="JI355" s="5">
        <v>0.108971235872672</v>
      </c>
      <c r="JJ355" s="5">
        <v>-8.5722060223902205E-2</v>
      </c>
      <c r="JK355" s="5">
        <v>0.20589178574444</v>
      </c>
      <c r="JL355" s="5">
        <v>-0.22673654642837299</v>
      </c>
      <c r="JM355" s="5">
        <v>0.31193953532816898</v>
      </c>
      <c r="JN355" s="5">
        <v>-0.186669404243057</v>
      </c>
      <c r="JO355" s="5">
        <v>0.32027273153144498</v>
      </c>
      <c r="JP355" s="5">
        <v>-0.16146647986910601</v>
      </c>
      <c r="JQ355" s="5">
        <v>0.30198511954706903</v>
      </c>
      <c r="JR355" s="5">
        <v>-0.21692276381166301</v>
      </c>
      <c r="JS355" s="5">
        <v>0.44697211593026798</v>
      </c>
      <c r="JT355" s="5">
        <v>2.6927278622091998E-2</v>
      </c>
      <c r="JU355" s="5">
        <v>8.5625175403361106E-2</v>
      </c>
      <c r="JV355" s="5">
        <v>-0.103544074642216</v>
      </c>
      <c r="JW355" s="5">
        <v>0.26234136984567402</v>
      </c>
      <c r="JX355" s="5">
        <v>2.5466379407282198E-2</v>
      </c>
      <c r="JY355" s="5">
        <v>-5.4760309628956401E-2</v>
      </c>
      <c r="JZ355" s="5">
        <v>-0.13658380927043101</v>
      </c>
      <c r="KA355" s="5">
        <v>0.189345752667716</v>
      </c>
      <c r="KB355" s="5">
        <v>-3.38540416874041E-2</v>
      </c>
      <c r="KC355" s="5">
        <v>1.71957150264655E-2</v>
      </c>
      <c r="KD355" s="5">
        <v>4.8802647978098398E-2</v>
      </c>
      <c r="KE355" s="5">
        <v>-8.9790197388346302E-2</v>
      </c>
      <c r="KF355" s="5">
        <v>-0.285025564615008</v>
      </c>
      <c r="KG355" s="5">
        <v>0.45406605242474202</v>
      </c>
      <c r="KH355" s="5">
        <v>-0.37154564679120899</v>
      </c>
      <c r="KI355" s="5">
        <v>0.48903704549382698</v>
      </c>
      <c r="KJ355" s="5">
        <v>-0.20279769520501301</v>
      </c>
      <c r="KK355" s="5">
        <v>0.30221234742105002</v>
      </c>
      <c r="KL355" s="5">
        <v>-0.186189942376768</v>
      </c>
      <c r="KM355" s="5">
        <v>0.34205256604836698</v>
      </c>
      <c r="KN355" s="5">
        <v>8.3874399962183294E-2</v>
      </c>
      <c r="KO355" s="5">
        <v>-0.13280930701830199</v>
      </c>
      <c r="KP355" s="5">
        <v>4.1594493021067998E-2</v>
      </c>
      <c r="KQ355" s="5">
        <v>-4.5275188587511797E-2</v>
      </c>
      <c r="KR355" s="5">
        <v>-1.0571040891038001E-2</v>
      </c>
      <c r="KS355" s="5">
        <v>8.9519422283138403E-2</v>
      </c>
      <c r="KT355" s="5">
        <v>-0.272837373701458</v>
      </c>
      <c r="KU355" s="5">
        <v>0.44034270192464903</v>
      </c>
      <c r="KV355" s="5">
        <v>-0.123208604638032</v>
      </c>
      <c r="KW355" s="5">
        <v>0.30624701525383302</v>
      </c>
      <c r="KX355" s="5">
        <v>-0.16759928778115801</v>
      </c>
      <c r="KY355" s="5">
        <v>0.33713686839619</v>
      </c>
      <c r="KZ355" s="5">
        <v>-3.07376556170708E-2</v>
      </c>
      <c r="LA355" s="5">
        <v>8.4352995428665103E-2</v>
      </c>
      <c r="LB355" s="5">
        <v>-9.9778687854942705E-2</v>
      </c>
      <c r="LC355" s="5">
        <v>0.24671233393132899</v>
      </c>
      <c r="LD355" s="5">
        <v>-0.24041336452633499</v>
      </c>
      <c r="LE355" s="5">
        <v>0.38676199224365998</v>
      </c>
      <c r="LF355" s="5">
        <v>1.77879074557869E-2</v>
      </c>
      <c r="LG355" s="5">
        <v>-4.8309857889961998E-2</v>
      </c>
      <c r="LH355" s="5">
        <v>-0.10462846966238901</v>
      </c>
      <c r="LI355" s="5">
        <v>0.25342599041809299</v>
      </c>
      <c r="LJ355" s="5">
        <v>2.51893579656998E-2</v>
      </c>
      <c r="LK355" s="5">
        <v>-4.8099313657529799E-2</v>
      </c>
      <c r="LL355" s="5">
        <v>8.9894304140132497E-2</v>
      </c>
      <c r="LM355" s="5">
        <v>0.101550403738041</v>
      </c>
      <c r="LN355" s="5">
        <v>-2.50571731917416E-2</v>
      </c>
      <c r="LO355" s="5">
        <v>0.17683927130945001</v>
      </c>
      <c r="LP355" s="5">
        <v>-0.12547296161420499</v>
      </c>
      <c r="LQ355" s="5">
        <v>0.32898465181494602</v>
      </c>
      <c r="LR355" s="5">
        <v>0.13591425229871101</v>
      </c>
      <c r="LS355" s="5">
        <v>-0.18901872871942901</v>
      </c>
      <c r="LT355" s="5">
        <v>0.104690579712237</v>
      </c>
      <c r="LU355" s="5">
        <v>-0.15772595158099301</v>
      </c>
      <c r="LV355" s="5">
        <v>-0.139501194713715</v>
      </c>
      <c r="LW355" s="5">
        <v>0.118596095211213</v>
      </c>
      <c r="LX355" s="5">
        <v>-0.36878513971193799</v>
      </c>
      <c r="LY355" s="5">
        <v>0.46924148227652601</v>
      </c>
      <c r="LZ355" s="5">
        <v>-0.26822583201690398</v>
      </c>
      <c r="MA355" s="5">
        <v>0.49947134922786601</v>
      </c>
      <c r="MB355" s="5">
        <v>-0.32547159318213098</v>
      </c>
      <c r="MC355" s="5">
        <v>0.486673847429341</v>
      </c>
      <c r="MD355" s="5">
        <v>-0.31392518076756099</v>
      </c>
      <c r="ME355" s="5">
        <v>0.56576199566191498</v>
      </c>
      <c r="MF355" s="5">
        <v>0.18827215243723799</v>
      </c>
      <c r="MG355" s="5">
        <v>-0.29930996650619701</v>
      </c>
      <c r="MH355" s="5">
        <v>-7.7426609644640598E-2</v>
      </c>
      <c r="MI355" s="5">
        <v>3.1668948173652997E-2</v>
      </c>
      <c r="MJ355" s="5">
        <v>0.160663542464172</v>
      </c>
      <c r="MK355" s="5">
        <v>-0.18099153760709399</v>
      </c>
      <c r="ML355" s="5">
        <v>-4.0783000905660297E-2</v>
      </c>
      <c r="MM355" s="5">
        <v>0.123832422102371</v>
      </c>
      <c r="MN355" s="5">
        <v>1.9876835066613301E-3</v>
      </c>
      <c r="MO355" s="5">
        <v>9.7413280707092001E-2</v>
      </c>
      <c r="MP355" s="5">
        <v>-0.812872992456809</v>
      </c>
      <c r="MQ355" s="5">
        <v>1</v>
      </c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</row>
    <row r="356" spans="1:389" x14ac:dyDescent="0.45">
      <c r="A356" s="4" t="str">
        <f ca="1">"TUR / beta1dist in "&amp;CELL("address",'damages-1990'!$J$179)</f>
        <v>TUR / beta1dist in '[BHM betas v3pd.xlsx]damages-1990'!$J$179</v>
      </c>
      <c r="B356" s="6">
        <v>0.520820993598756</v>
      </c>
      <c r="C356" s="5">
        <v>-0.122823908951131</v>
      </c>
      <c r="D356" s="5">
        <v>0.29747513908072698</v>
      </c>
      <c r="E356" s="5">
        <v>-0.127314514924488</v>
      </c>
      <c r="F356" s="5">
        <v>0.75068383549586204</v>
      </c>
      <c r="G356" s="5">
        <v>-0.48297289620126999</v>
      </c>
      <c r="H356" s="5">
        <v>0.34188974592882498</v>
      </c>
      <c r="I356" s="5">
        <v>-0.157391717446242</v>
      </c>
      <c r="J356" s="5">
        <v>7.3549164258631505E-2</v>
      </c>
      <c r="K356" s="5">
        <v>5.2284300417070502E-2</v>
      </c>
      <c r="L356" s="5">
        <v>0.42492379554414</v>
      </c>
      <c r="M356" s="5">
        <v>-8.1570101527455793E-2</v>
      </c>
      <c r="N356" s="5">
        <v>0.62509229346560202</v>
      </c>
      <c r="O356" s="5">
        <v>-0.34374294817389001</v>
      </c>
      <c r="P356" s="5">
        <v>4.8625467484876901E-2</v>
      </c>
      <c r="Q356" s="5">
        <v>5.1445470931647301E-2</v>
      </c>
      <c r="R356" s="5">
        <v>0.257900446241763</v>
      </c>
      <c r="S356" s="5">
        <v>-5.34966820467591E-2</v>
      </c>
      <c r="T356" s="5">
        <v>0.43283915510972198</v>
      </c>
      <c r="U356" s="5">
        <v>-0.24347239098947801</v>
      </c>
      <c r="V356" s="5">
        <v>0.73169445137402001</v>
      </c>
      <c r="W356" s="5">
        <v>-0.45580947168445102</v>
      </c>
      <c r="X356" s="5">
        <v>0.27019807808718199</v>
      </c>
      <c r="Y356" s="5">
        <v>-6.3481826178548195E-2</v>
      </c>
      <c r="Z356" s="5">
        <v>0.49252412852430499</v>
      </c>
      <c r="AA356" s="5">
        <v>-0.234375967678908</v>
      </c>
      <c r="AB356" s="5">
        <v>7.2497379345934004E-2</v>
      </c>
      <c r="AC356" s="5">
        <v>4.0122448093193E-2</v>
      </c>
      <c r="AD356" s="5">
        <v>0.16630646503128499</v>
      </c>
      <c r="AE356" s="5">
        <v>-1.6323667502379499E-2</v>
      </c>
      <c r="AF356" s="5">
        <v>0.113264321911641</v>
      </c>
      <c r="AG356" s="5">
        <v>9.0938264224643597E-3</v>
      </c>
      <c r="AH356" s="5">
        <v>0.79009751570116304</v>
      </c>
      <c r="AI356" s="5">
        <v>-0.529825517628289</v>
      </c>
      <c r="AJ356" s="5">
        <v>4.4982394667101799E-2</v>
      </c>
      <c r="AK356" s="5">
        <v>5.7036049595247301E-2</v>
      </c>
      <c r="AL356" s="5">
        <v>6.1826399229763199E-2</v>
      </c>
      <c r="AM356" s="5">
        <v>2.2043478725563399E-2</v>
      </c>
      <c r="AN356" s="5">
        <v>0.64109302951846503</v>
      </c>
      <c r="AO356" s="5">
        <v>-0.37198759916622998</v>
      </c>
      <c r="AP356" s="5">
        <v>0.34382201887860803</v>
      </c>
      <c r="AQ356" s="5">
        <v>-0.109404831488938</v>
      </c>
      <c r="AR356" s="5">
        <v>0.103964060034579</v>
      </c>
      <c r="AS356" s="5">
        <v>2.9722268137033999E-3</v>
      </c>
      <c r="AT356" s="5">
        <v>7.0914860392427503E-2</v>
      </c>
      <c r="AU356" s="5">
        <v>4.1006576662604302E-3</v>
      </c>
      <c r="AV356" s="5">
        <v>0.19989660377427601</v>
      </c>
      <c r="AW356" s="5">
        <v>-2.0901767343287799E-2</v>
      </c>
      <c r="AX356" s="5">
        <v>0.15339659671340999</v>
      </c>
      <c r="AY356" s="5">
        <v>-4.9450335608180698E-2</v>
      </c>
      <c r="AZ356" s="5">
        <v>0.119029029315049</v>
      </c>
      <c r="BA356" s="5">
        <v>-3.8273781664424299E-3</v>
      </c>
      <c r="BB356" s="5">
        <v>0.18033267250791299</v>
      </c>
      <c r="BC356" s="5">
        <v>-3.8990806833652802E-2</v>
      </c>
      <c r="BD356" s="5">
        <v>0.64735443721751096</v>
      </c>
      <c r="BE356" s="5">
        <v>-0.25201230381623702</v>
      </c>
      <c r="BF356" s="5">
        <v>0.18967396434720399</v>
      </c>
      <c r="BG356" s="5">
        <v>-4.9565597038364002E-2</v>
      </c>
      <c r="BH356" s="5">
        <v>0.14825190398462601</v>
      </c>
      <c r="BI356" s="5">
        <v>1.39640134022972E-2</v>
      </c>
      <c r="BJ356" s="5">
        <v>0.181838761990055</v>
      </c>
      <c r="BK356" s="5">
        <v>3.0632136909356299E-2</v>
      </c>
      <c r="BL356" s="5">
        <v>0.43983670455400597</v>
      </c>
      <c r="BM356" s="5">
        <v>-0.27573900652390498</v>
      </c>
      <c r="BN356" s="5">
        <v>0.403609981333797</v>
      </c>
      <c r="BO356" s="5">
        <v>-1.9802560027620299E-2</v>
      </c>
      <c r="BP356" s="5">
        <v>0.50084304554436798</v>
      </c>
      <c r="BQ356" s="5">
        <v>-0.17549694386935799</v>
      </c>
      <c r="BR356" s="5">
        <v>0.151786974312759</v>
      </c>
      <c r="BS356" s="5">
        <v>4.4443815607749003E-3</v>
      </c>
      <c r="BT356" s="5">
        <v>0.166305170328162</v>
      </c>
      <c r="BU356" s="5">
        <v>8.3997723173325194E-3</v>
      </c>
      <c r="BV356" s="5">
        <v>0.178922189728738</v>
      </c>
      <c r="BW356" s="5">
        <v>-3.3162624379034902E-2</v>
      </c>
      <c r="BX356" s="5">
        <v>0.123399445139397</v>
      </c>
      <c r="BY356" s="5">
        <v>1.3144441471322099E-2</v>
      </c>
      <c r="BZ356" s="5">
        <v>0.12662094992209999</v>
      </c>
      <c r="CA356" s="5">
        <v>-2.08663310991909E-2</v>
      </c>
      <c r="CB356" s="5">
        <v>0.112722674589204</v>
      </c>
      <c r="CC356" s="5">
        <v>1.73491015955608E-3</v>
      </c>
      <c r="CD356" s="5">
        <v>0.16259156581032999</v>
      </c>
      <c r="CE356" s="5">
        <v>-4.5295234027904502E-2</v>
      </c>
      <c r="CF356" s="5">
        <v>0.143774756594435</v>
      </c>
      <c r="CG356" s="5">
        <v>-4.50593816244267E-2</v>
      </c>
      <c r="CH356" s="5">
        <v>5.2820950936582102E-2</v>
      </c>
      <c r="CI356" s="5">
        <v>1.86659881343345E-2</v>
      </c>
      <c r="CJ356" s="5">
        <v>0.21686095913172401</v>
      </c>
      <c r="CK356" s="5">
        <v>-8.1511620101505297E-2</v>
      </c>
      <c r="CL356" s="5">
        <v>0.47792713403083398</v>
      </c>
      <c r="CM356" s="5">
        <v>-0.25902260458500798</v>
      </c>
      <c r="CN356" s="5">
        <v>0.48008097467505401</v>
      </c>
      <c r="CO356" s="5">
        <v>-0.24023596097947</v>
      </c>
      <c r="CP356" s="5">
        <v>7.1039936775167498E-2</v>
      </c>
      <c r="CQ356" s="5">
        <v>4.2552101081667897E-2</v>
      </c>
      <c r="CR356" s="5">
        <v>0.10773496728127301</v>
      </c>
      <c r="CS356" s="5">
        <v>4.2176276007029799E-2</v>
      </c>
      <c r="CT356" s="5">
        <v>0.317944788603645</v>
      </c>
      <c r="CU356" s="5">
        <v>-0.10544353618324399</v>
      </c>
      <c r="CV356" s="5">
        <v>0.11828921264881601</v>
      </c>
      <c r="CW356" s="5">
        <v>-5.9999660550267E-3</v>
      </c>
      <c r="CX356" s="5">
        <v>0.15336395082742299</v>
      </c>
      <c r="CY356" s="5">
        <v>6.0713566320703197E-3</v>
      </c>
      <c r="CZ356" s="5">
        <v>0.17524137997728101</v>
      </c>
      <c r="DA356" s="5">
        <v>-4.7364708298161702E-2</v>
      </c>
      <c r="DB356" s="5">
        <v>0.16561377785180001</v>
      </c>
      <c r="DC356" s="5">
        <v>4.3514226111249299E-3</v>
      </c>
      <c r="DD356" s="5">
        <v>0.15587492740882999</v>
      </c>
      <c r="DE356" s="5">
        <v>-1.5415936311564399E-2</v>
      </c>
      <c r="DF356" s="5">
        <v>0.151952985483299</v>
      </c>
      <c r="DG356" s="5">
        <v>-1.4750314270110599E-2</v>
      </c>
      <c r="DH356" s="5">
        <v>0.48482949575409601</v>
      </c>
      <c r="DI356" s="5">
        <v>-0.12748043421793401</v>
      </c>
      <c r="DJ356" s="5">
        <v>0.235359377270596</v>
      </c>
      <c r="DK356" s="5">
        <v>-2.1422376580595801E-2</v>
      </c>
      <c r="DL356" s="5">
        <v>0.211100711366835</v>
      </c>
      <c r="DM356" s="5">
        <v>-1.44453609631947E-2</v>
      </c>
      <c r="DN356" s="5">
        <v>0.17080311231756701</v>
      </c>
      <c r="DO356" s="5">
        <v>4.07232138721145E-2</v>
      </c>
      <c r="DP356" s="5">
        <v>0.159382889763344</v>
      </c>
      <c r="DQ356" s="5">
        <v>-2.3238120609256799E-2</v>
      </c>
      <c r="DR356" s="5">
        <v>0.57090661929514996</v>
      </c>
      <c r="DS356" s="5">
        <v>-0.26499614985507702</v>
      </c>
      <c r="DT356" s="5">
        <v>7.1341157221928603E-2</v>
      </c>
      <c r="DU356" s="5">
        <v>-1.33926029714753E-3</v>
      </c>
      <c r="DV356" s="5">
        <v>0.142124109190777</v>
      </c>
      <c r="DW356" s="5">
        <v>-2.33383729291173E-2</v>
      </c>
      <c r="DX356" s="5">
        <v>0.34870263006733399</v>
      </c>
      <c r="DY356" s="5">
        <v>-7.4359594132259593E-2</v>
      </c>
      <c r="DZ356" s="5">
        <v>0.70713156092728002</v>
      </c>
      <c r="EA356" s="5">
        <v>-0.431374015813834</v>
      </c>
      <c r="EB356" s="5">
        <v>0.13222740530781901</v>
      </c>
      <c r="EC356" s="5">
        <v>4.9275870724335502E-3</v>
      </c>
      <c r="ED356" s="5">
        <v>0.138096943756809</v>
      </c>
      <c r="EE356" s="5">
        <v>4.0068833287783101E-2</v>
      </c>
      <c r="EF356" s="5">
        <v>7.4647747951004095E-2</v>
      </c>
      <c r="EG356" s="5">
        <v>4.8932426370901401E-2</v>
      </c>
      <c r="EH356" s="5">
        <v>0.23444104717122499</v>
      </c>
      <c r="EI356" s="5">
        <v>-8.0145272478496996E-2</v>
      </c>
      <c r="EJ356" s="5">
        <v>0.21158101919552499</v>
      </c>
      <c r="EK356" s="5">
        <v>-4.0864819913828003E-2</v>
      </c>
      <c r="EL356" s="5">
        <v>0.17340692197612501</v>
      </c>
      <c r="EM356" s="5">
        <v>-2.36510003558765E-2</v>
      </c>
      <c r="EN356" s="5">
        <v>0.55794351553336896</v>
      </c>
      <c r="EO356" s="5">
        <v>-0.31125033186189699</v>
      </c>
      <c r="EP356" s="5">
        <v>0.139699551665394</v>
      </c>
      <c r="EQ356" s="5">
        <v>-2.2759880107766702E-2</v>
      </c>
      <c r="ER356" s="5">
        <v>0.18147017688304401</v>
      </c>
      <c r="ES356" s="5">
        <v>-4.4734733806776499E-2</v>
      </c>
      <c r="ET356" s="5">
        <v>0.12826981757426101</v>
      </c>
      <c r="EU356" s="5">
        <v>-3.0074326209861599E-2</v>
      </c>
      <c r="EV356" s="5">
        <v>7.6566790026556003E-2</v>
      </c>
      <c r="EW356" s="5">
        <v>7.7451983071917304E-3</v>
      </c>
      <c r="EX356" s="5">
        <v>0.131463886004965</v>
      </c>
      <c r="EY356" s="5">
        <v>-2.16868831026133E-2</v>
      </c>
      <c r="EZ356" s="5">
        <v>0.16974032869800501</v>
      </c>
      <c r="FA356" s="5">
        <v>-3.0244333240304101E-2</v>
      </c>
      <c r="FB356" s="5">
        <v>0.68430171414420304</v>
      </c>
      <c r="FC356" s="5">
        <v>-0.40796216313349798</v>
      </c>
      <c r="FD356" s="5">
        <v>0.12816839188891399</v>
      </c>
      <c r="FE356" s="5">
        <v>-1.1013362510660299E-2</v>
      </c>
      <c r="FF356" s="5">
        <v>0.66928061519014204</v>
      </c>
      <c r="FG356" s="5">
        <v>-0.39763699560451099</v>
      </c>
      <c r="FH356" s="5">
        <v>0.13663633795930899</v>
      </c>
      <c r="FI356" s="5">
        <v>3.036847591397E-3</v>
      </c>
      <c r="FJ356" s="5">
        <v>0.21444248566935301</v>
      </c>
      <c r="FK356" s="5">
        <v>-3.3405091231228902E-2</v>
      </c>
      <c r="FL356" s="5">
        <v>0.31215214991316198</v>
      </c>
      <c r="FM356" s="5">
        <v>1.55983089652978E-3</v>
      </c>
      <c r="FN356" s="5">
        <v>0.38398409655327598</v>
      </c>
      <c r="FO356" s="5">
        <v>-0.12261857272610301</v>
      </c>
      <c r="FP356" s="5">
        <v>0.14644976559033401</v>
      </c>
      <c r="FQ356" s="5">
        <v>1.20277736499585E-2</v>
      </c>
      <c r="FR356" s="5">
        <v>0.13132756719851801</v>
      </c>
      <c r="FS356" s="5">
        <v>0.128849194574229</v>
      </c>
      <c r="FT356" s="5">
        <v>0.26194858600735299</v>
      </c>
      <c r="FU356" s="5">
        <v>-6.2945159248119206E-2</v>
      </c>
      <c r="FV356" s="5">
        <v>0.65721552808080896</v>
      </c>
      <c r="FW356" s="5">
        <v>-0.38819565712008303</v>
      </c>
      <c r="FX356" s="5">
        <v>0.12938224575134999</v>
      </c>
      <c r="FY356" s="5">
        <v>1.05635613744939E-2</v>
      </c>
      <c r="FZ356" s="5">
        <v>0.31767866798916999</v>
      </c>
      <c r="GA356" s="5">
        <v>-9.5338061265927102E-2</v>
      </c>
      <c r="GB356" s="5">
        <v>0.68296682357971705</v>
      </c>
      <c r="GC356" s="5">
        <v>-0.38539001082625801</v>
      </c>
      <c r="GD356" s="5">
        <v>0.36867240944335999</v>
      </c>
      <c r="GE356" s="5">
        <v>-0.12511752739273399</v>
      </c>
      <c r="GF356" s="5">
        <v>0.19152598729195999</v>
      </c>
      <c r="GG356" s="5">
        <v>-2.95589728606921E-2</v>
      </c>
      <c r="GH356" s="5">
        <v>0.241526489816558</v>
      </c>
      <c r="GI356" s="5">
        <v>-8.1103573012429007E-3</v>
      </c>
      <c r="GJ356" s="5">
        <v>0.13974859188989</v>
      </c>
      <c r="GK356" s="5">
        <v>-5.2491485861447099E-2</v>
      </c>
      <c r="GL356" s="5">
        <v>4.4551076948732303E-2</v>
      </c>
      <c r="GM356" s="5">
        <v>6.1603196115513903E-2</v>
      </c>
      <c r="GN356" s="5">
        <v>0.62262195994861202</v>
      </c>
      <c r="GO356" s="5">
        <v>-0.30777118441784002</v>
      </c>
      <c r="GP356" s="5">
        <v>9.0322859781438794E-2</v>
      </c>
      <c r="GQ356" s="5">
        <v>2.26889703862624E-2</v>
      </c>
      <c r="GR356" s="5">
        <v>0.204150301769631</v>
      </c>
      <c r="GS356" s="5">
        <v>-6.1841502287234999E-2</v>
      </c>
      <c r="GT356" s="5">
        <v>0.53069173809390302</v>
      </c>
      <c r="GU356" s="5">
        <v>-0.25198787786668297</v>
      </c>
      <c r="GV356" s="5">
        <v>0.152045622289215</v>
      </c>
      <c r="GW356" s="5">
        <v>-6.4726802194686704E-3</v>
      </c>
      <c r="GX356" s="5">
        <v>0.16218955167194599</v>
      </c>
      <c r="GY356" s="5">
        <v>-2.3590335276133401E-2</v>
      </c>
      <c r="GZ356" s="5">
        <v>0.42583149423081401</v>
      </c>
      <c r="HA356" s="5">
        <v>-0.26214607865880701</v>
      </c>
      <c r="HB356" s="5">
        <v>0.157656710341956</v>
      </c>
      <c r="HC356" s="5">
        <v>-3.92799550221525E-2</v>
      </c>
      <c r="HD356" s="5">
        <v>0.45935673033010099</v>
      </c>
      <c r="HE356" s="5">
        <v>5.74268845480276E-2</v>
      </c>
      <c r="HF356" s="5">
        <v>0.29549414205908398</v>
      </c>
      <c r="HG356" s="5">
        <v>-7.2010177540203807E-2</v>
      </c>
      <c r="HH356" s="5">
        <v>0.50306342110075997</v>
      </c>
      <c r="HI356" s="5">
        <v>-0.26254706614322898</v>
      </c>
      <c r="HJ356" s="5">
        <v>0.267956740479316</v>
      </c>
      <c r="HK356" s="5">
        <v>-5.9232044938982903E-2</v>
      </c>
      <c r="HL356" s="5">
        <v>0.28569933851379797</v>
      </c>
      <c r="HM356" s="5">
        <v>-1.35854541898787E-2</v>
      </c>
      <c r="HN356" s="5">
        <v>0.677936066694388</v>
      </c>
      <c r="HO356" s="5">
        <v>-0.39781080676060698</v>
      </c>
      <c r="HP356" s="5">
        <v>0.22167871021944899</v>
      </c>
      <c r="HQ356" s="5">
        <v>-3.0811864778985301E-2</v>
      </c>
      <c r="HR356" s="5">
        <v>0.23675722133352201</v>
      </c>
      <c r="HS356" s="5">
        <v>-5.3664932826047299E-2</v>
      </c>
      <c r="HT356" s="5">
        <v>0.74476312581530402</v>
      </c>
      <c r="HU356" s="5">
        <v>-0.46529182513082901</v>
      </c>
      <c r="HV356" s="5">
        <v>0.110309737096942</v>
      </c>
      <c r="HW356" s="5">
        <v>2.70065407796365E-2</v>
      </c>
      <c r="HX356" s="5">
        <v>0.214422983624981</v>
      </c>
      <c r="HY356" s="5">
        <v>-4.5251615083090599E-2</v>
      </c>
      <c r="HZ356" s="5">
        <v>0.60235249923050604</v>
      </c>
      <c r="IA356" s="5">
        <v>-0.34296610069969002</v>
      </c>
      <c r="IB356" s="5">
        <v>0.22305056334891701</v>
      </c>
      <c r="IC356" s="5">
        <v>-4.4131230572871501E-2</v>
      </c>
      <c r="ID356" s="5">
        <v>0.20268650935705701</v>
      </c>
      <c r="IE356" s="5">
        <v>-5.8455412470842599E-2</v>
      </c>
      <c r="IF356" s="5">
        <v>0.13656635590094099</v>
      </c>
      <c r="IG356" s="5">
        <v>1.10816173958384E-2</v>
      </c>
      <c r="IH356" s="5">
        <v>0.105828430853463</v>
      </c>
      <c r="II356" s="5">
        <v>2.2857789501167399E-2</v>
      </c>
      <c r="IJ356" s="5">
        <v>-2.2435098778446301E-2</v>
      </c>
      <c r="IK356" s="5">
        <v>0.10214371083927599</v>
      </c>
      <c r="IL356" s="5">
        <v>0.20828080271052801</v>
      </c>
      <c r="IM356" s="5">
        <v>-5.7689668001788701E-2</v>
      </c>
      <c r="IN356" s="5">
        <v>0.17608730494567201</v>
      </c>
      <c r="IO356" s="5">
        <v>-2.9141914489751199E-2</v>
      </c>
      <c r="IP356" s="5">
        <v>0.258160692799562</v>
      </c>
      <c r="IQ356" s="5">
        <v>-5.3821221549521403E-2</v>
      </c>
      <c r="IR356" s="5">
        <v>9.3435275964034503E-2</v>
      </c>
      <c r="IS356" s="5">
        <v>2.80645558903907E-2</v>
      </c>
      <c r="IT356" s="5">
        <v>0.109598871958622</v>
      </c>
      <c r="IU356" s="5">
        <v>3.1563060093158402E-2</v>
      </c>
      <c r="IV356" s="5">
        <v>0.14046285455089999</v>
      </c>
      <c r="IW356" s="5">
        <v>3.3442520277197898E-3</v>
      </c>
      <c r="IX356" s="5">
        <v>0.17416338407389501</v>
      </c>
      <c r="IY356" s="5">
        <v>-6.1152950204705597E-2</v>
      </c>
      <c r="IZ356" s="5">
        <v>0.45958473952831402</v>
      </c>
      <c r="JA356" s="5">
        <v>-0.21934238463699601</v>
      </c>
      <c r="JB356" s="5">
        <v>0.20774070350035301</v>
      </c>
      <c r="JC356" s="5">
        <v>-5.83170645331621E-3</v>
      </c>
      <c r="JD356" s="5">
        <v>0.53544552940757495</v>
      </c>
      <c r="JE356" s="5">
        <v>-0.114637899094375</v>
      </c>
      <c r="JF356" s="5">
        <v>3.8331231436138397E-2</v>
      </c>
      <c r="JG356" s="5">
        <v>3.0032573834013601E-2</v>
      </c>
      <c r="JH356" s="5">
        <v>0.53168755620812902</v>
      </c>
      <c r="JI356" s="5">
        <v>-0.193368323933337</v>
      </c>
      <c r="JJ356" s="5">
        <v>0.17146683789690001</v>
      </c>
      <c r="JK356" s="5">
        <v>3.7383278959454498E-3</v>
      </c>
      <c r="JL356" s="5">
        <v>0.260840479681825</v>
      </c>
      <c r="JM356" s="5">
        <v>-5.1784684365438302E-2</v>
      </c>
      <c r="JN356" s="5">
        <v>0.13880868502865901</v>
      </c>
      <c r="JO356" s="5">
        <v>-2.9403880418545601E-2</v>
      </c>
      <c r="JP356" s="5">
        <v>0.23369127962804201</v>
      </c>
      <c r="JQ356" s="5">
        <v>-2.79623567432465E-2</v>
      </c>
      <c r="JR356" s="5">
        <v>0.12799143977355901</v>
      </c>
      <c r="JS356" s="5">
        <v>5.2679910944668E-2</v>
      </c>
      <c r="JT356" s="5">
        <v>6.35855251446939E-2</v>
      </c>
      <c r="JU356" s="5">
        <v>3.67014942748176E-2</v>
      </c>
      <c r="JV356" s="5">
        <v>0.10235735479987</v>
      </c>
      <c r="JW356" s="5">
        <v>7.2459071602604605E-2</v>
      </c>
      <c r="JX356" s="5">
        <v>0.41612326656790799</v>
      </c>
      <c r="JY356" s="5">
        <v>-0.17715089515181801</v>
      </c>
      <c r="JZ356" s="5">
        <v>4.9598454288158102E-2</v>
      </c>
      <c r="KA356" s="5">
        <v>6.1869053445196498E-2</v>
      </c>
      <c r="KB356" s="5">
        <v>0.45138425784435998</v>
      </c>
      <c r="KC356" s="5">
        <v>-0.231770249678317</v>
      </c>
      <c r="KD356" s="5">
        <v>0.35896589044319699</v>
      </c>
      <c r="KE356" s="5">
        <v>-8.6965164874430706E-2</v>
      </c>
      <c r="KF356" s="5">
        <v>8.0219111279743294E-2</v>
      </c>
      <c r="KG356" s="5">
        <v>5.5659434059359698E-2</v>
      </c>
      <c r="KH356" s="5">
        <v>0.29022149021467097</v>
      </c>
      <c r="KI356" s="5">
        <v>-7.15860095736469E-2</v>
      </c>
      <c r="KJ356" s="5">
        <v>3.8052515245664699E-2</v>
      </c>
      <c r="KK356" s="5">
        <v>6.5967063731933701E-2</v>
      </c>
      <c r="KL356" s="5">
        <v>0.218245936354619</v>
      </c>
      <c r="KM356" s="5">
        <v>2.7317152083896599E-2</v>
      </c>
      <c r="KN356" s="5">
        <v>0.67647747493509502</v>
      </c>
      <c r="KO356" s="5">
        <v>-0.40262232108026802</v>
      </c>
      <c r="KP356" s="5">
        <v>0.23903363947609799</v>
      </c>
      <c r="KQ356" s="5">
        <v>-7.4171296596888203E-2</v>
      </c>
      <c r="KR356" s="5">
        <v>0.30272676274890797</v>
      </c>
      <c r="KS356" s="5">
        <v>-6.7052448081601101E-2</v>
      </c>
      <c r="KT356" s="5">
        <v>0.12616100902140001</v>
      </c>
      <c r="KU356" s="5">
        <v>2.51649885515315E-2</v>
      </c>
      <c r="KV356" s="5">
        <v>0.18450604959744701</v>
      </c>
      <c r="KW356" s="5">
        <v>-5.2012025119252799E-2</v>
      </c>
      <c r="KX356" s="5">
        <v>0.22222456229455001</v>
      </c>
      <c r="KY356" s="5">
        <v>-6.3872689360654503E-2</v>
      </c>
      <c r="KZ356" s="5">
        <v>3.1413049860803899E-2</v>
      </c>
      <c r="LA356" s="5">
        <v>9.27849921999679E-2</v>
      </c>
      <c r="LB356" s="5">
        <v>0.18814074008862899</v>
      </c>
      <c r="LC356" s="5">
        <v>-9.5188105014215995E-3</v>
      </c>
      <c r="LD356" s="5">
        <v>0.13391409636555399</v>
      </c>
      <c r="LE356" s="5">
        <v>-1.8741240446670599E-2</v>
      </c>
      <c r="LF356" s="5">
        <v>0.66068604317062596</v>
      </c>
      <c r="LG356" s="5">
        <v>-0.37751509866273603</v>
      </c>
      <c r="LH356" s="5">
        <v>0.15992667729085699</v>
      </c>
      <c r="LI356" s="5">
        <v>-4.7370952703692099E-3</v>
      </c>
      <c r="LJ356" s="5">
        <v>0.71987046741314997</v>
      </c>
      <c r="LK356" s="5">
        <v>-0.436678771368681</v>
      </c>
      <c r="LL356" s="5">
        <v>0.144765375393166</v>
      </c>
      <c r="LM356" s="5">
        <v>-2.9084263146733302E-2</v>
      </c>
      <c r="LN356" s="5">
        <v>0.18897803006647099</v>
      </c>
      <c r="LO356" s="5">
        <v>-3.0142178049281699E-2</v>
      </c>
      <c r="LP356" s="5">
        <v>0.100150208881943</v>
      </c>
      <c r="LQ356" s="5">
        <v>-1.0457515200464101E-2</v>
      </c>
      <c r="LR356" s="5">
        <v>0.48186458621281902</v>
      </c>
      <c r="LS356" s="5">
        <v>-0.25452250369495399</v>
      </c>
      <c r="LT356" s="5">
        <v>0.56359541654782197</v>
      </c>
      <c r="LU356" s="5">
        <v>-0.29996409860030598</v>
      </c>
      <c r="LV356" s="5">
        <v>0.17667540887958599</v>
      </c>
      <c r="LW356" s="5">
        <v>-5.0292977311862299E-4</v>
      </c>
      <c r="LX356" s="5">
        <v>0.30368196384004698</v>
      </c>
      <c r="LY356" s="5">
        <v>-8.9757609879894298E-2</v>
      </c>
      <c r="LZ356" s="5">
        <v>0.15627824767765</v>
      </c>
      <c r="MA356" s="5">
        <v>-1.22098982002552E-2</v>
      </c>
      <c r="MB356" s="5">
        <v>9.6484744389628604E-2</v>
      </c>
      <c r="MC356" s="5">
        <v>2.8074882503943299E-2</v>
      </c>
      <c r="MD356" s="5">
        <v>0.14544871424410499</v>
      </c>
      <c r="ME356" s="5">
        <v>-4.0953067785507502E-2</v>
      </c>
      <c r="MF356" s="5">
        <v>0.28446063199750998</v>
      </c>
      <c r="MG356" s="5">
        <v>-3.4741789165510899E-3</v>
      </c>
      <c r="MH356" s="5">
        <v>0.43753625385214501</v>
      </c>
      <c r="MI356" s="5">
        <v>-0.13906855186553299</v>
      </c>
      <c r="MJ356" s="5">
        <v>1.9068596689038798E-2</v>
      </c>
      <c r="MK356" s="5">
        <v>5.6926115645748898E-2</v>
      </c>
      <c r="ML356" s="5">
        <v>0.11985442029692001</v>
      </c>
      <c r="MM356" s="5">
        <v>2.85907240133959E-2</v>
      </c>
      <c r="MN356" s="5">
        <v>0.101621640018321</v>
      </c>
      <c r="MO356" s="5">
        <v>8.5042333607929601E-5</v>
      </c>
      <c r="MP356" s="5">
        <v>0.18342963872059601</v>
      </c>
      <c r="MQ356" s="5">
        <v>-1.59757055476628E-2</v>
      </c>
      <c r="MR356" s="5">
        <v>1</v>
      </c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</row>
    <row r="357" spans="1:389" x14ac:dyDescent="0.45">
      <c r="A357" s="4" t="str">
        <f ca="1">"TUR / beta2dist in "&amp;CELL("address",'damages-1990'!$K$179)</f>
        <v>TUR / beta2dist in '[BHM betas v3pd.xlsx]damages-1990'!$K$179</v>
      </c>
      <c r="B357" s="6">
        <v>-0.11962036920376801</v>
      </c>
      <c r="C357" s="5">
        <v>0.115234950636268</v>
      </c>
      <c r="D357" s="5">
        <v>-3.4131102888884698E-2</v>
      </c>
      <c r="E357" s="5">
        <v>0.14400899946068299</v>
      </c>
      <c r="F357" s="5">
        <v>-0.497494101005508</v>
      </c>
      <c r="G357" s="5">
        <v>0.60916880722431999</v>
      </c>
      <c r="H357" s="5">
        <v>-0.31892872540050798</v>
      </c>
      <c r="I357" s="5">
        <v>0.241428043734707</v>
      </c>
      <c r="J357" s="5">
        <v>0.209214870709895</v>
      </c>
      <c r="K357" s="5">
        <v>-6.7832636987393904E-2</v>
      </c>
      <c r="L357" s="5">
        <v>-2.2071746041584898E-2</v>
      </c>
      <c r="M357" s="5">
        <v>3.4630864615828601E-2</v>
      </c>
      <c r="N357" s="5">
        <v>-0.52381560885042</v>
      </c>
      <c r="O357" s="5">
        <v>0.43925595971619003</v>
      </c>
      <c r="P357" s="5">
        <v>8.2442670751742803E-2</v>
      </c>
      <c r="Q357" s="5">
        <v>-4.1096920474624203E-2</v>
      </c>
      <c r="R357" s="5">
        <v>4.9826717427140302E-2</v>
      </c>
      <c r="S357" s="5">
        <v>2.6858181654668099E-2</v>
      </c>
      <c r="T357" s="5">
        <v>-0.38859720212847398</v>
      </c>
      <c r="U357" s="5">
        <v>0.34826369792043799</v>
      </c>
      <c r="V357" s="5">
        <v>-0.39513637506617499</v>
      </c>
      <c r="W357" s="5">
        <v>0.53878622120026098</v>
      </c>
      <c r="X357" s="5">
        <v>7.8868354508659106E-3</v>
      </c>
      <c r="Y357" s="5">
        <v>8.1437667597699506E-2</v>
      </c>
      <c r="Z357" s="5">
        <v>-0.28904956310672297</v>
      </c>
      <c r="AA357" s="5">
        <v>0.27695466244828598</v>
      </c>
      <c r="AB357" s="5">
        <v>0.12212747199969699</v>
      </c>
      <c r="AC357" s="5">
        <v>-6.2493729426518499E-2</v>
      </c>
      <c r="AD357" s="5">
        <v>-1.84982337740871E-3</v>
      </c>
      <c r="AE357" s="5">
        <v>3.8417502874489799E-2</v>
      </c>
      <c r="AF357" s="5">
        <v>0.17506707884807399</v>
      </c>
      <c r="AG357" s="5">
        <v>-9.3356761696735097E-2</v>
      </c>
      <c r="AH357" s="5">
        <v>-0.60108012659497101</v>
      </c>
      <c r="AI357" s="5">
        <v>0.694153962595631</v>
      </c>
      <c r="AJ357" s="5">
        <v>0.217390180455446</v>
      </c>
      <c r="AK357" s="5">
        <v>-6.1353741610022099E-2</v>
      </c>
      <c r="AL357" s="5">
        <v>0.12909114600980201</v>
      </c>
      <c r="AM357" s="5">
        <v>-5.9448548882669601E-2</v>
      </c>
      <c r="AN357" s="5">
        <v>-0.488062470966033</v>
      </c>
      <c r="AO357" s="5">
        <v>0.49600033945969801</v>
      </c>
      <c r="AP357" s="5">
        <v>-0.261452508904292</v>
      </c>
      <c r="AQ357" s="5">
        <v>0.15736538663242999</v>
      </c>
      <c r="AR357" s="5">
        <v>0.130417576165993</v>
      </c>
      <c r="AS357" s="5">
        <v>-3.0874666808553001E-2</v>
      </c>
      <c r="AT357" s="5">
        <v>0.11849778813437301</v>
      </c>
      <c r="AU357" s="5">
        <v>-4.5652411485332597E-2</v>
      </c>
      <c r="AV357" s="5">
        <v>0.13778101803942</v>
      </c>
      <c r="AW357" s="5">
        <v>-4.94058509521485E-2</v>
      </c>
      <c r="AX357" s="5">
        <v>0.129849013543685</v>
      </c>
      <c r="AY357" s="5">
        <v>2.3198355681130999E-2</v>
      </c>
      <c r="AZ357" s="5">
        <v>1.07361105864436E-2</v>
      </c>
      <c r="BA357" s="5">
        <v>2.5186099402656598E-3</v>
      </c>
      <c r="BB357" s="5">
        <v>4.5477939726479101E-2</v>
      </c>
      <c r="BC357" s="5">
        <v>6.7776147692073796E-2</v>
      </c>
      <c r="BD357" s="5">
        <v>-0.34610640199058101</v>
      </c>
      <c r="BE357" s="5">
        <v>0.353440194472114</v>
      </c>
      <c r="BF357" s="5">
        <v>1.68479866068207E-2</v>
      </c>
      <c r="BG357" s="5">
        <v>6.8410083918129E-2</v>
      </c>
      <c r="BH357" s="5">
        <v>0.12584026571819101</v>
      </c>
      <c r="BI357" s="5">
        <v>-4.79610336669892E-2</v>
      </c>
      <c r="BJ357" s="5">
        <v>-0.23079691868865501</v>
      </c>
      <c r="BK357" s="5">
        <v>1.8101766105547801E-2</v>
      </c>
      <c r="BL357" s="5">
        <v>-0.42191473741739699</v>
      </c>
      <c r="BM357" s="5">
        <v>0.39216900805205701</v>
      </c>
      <c r="BN357" s="5">
        <v>-0.16380454319982399</v>
      </c>
      <c r="BO357" s="5">
        <v>1.46906664418943E-2</v>
      </c>
      <c r="BP357" s="5">
        <v>-0.32239552185938403</v>
      </c>
      <c r="BQ357" s="5">
        <v>0.22314467236163801</v>
      </c>
      <c r="BR357" s="5">
        <v>-3.0312108549014698E-3</v>
      </c>
      <c r="BS357" s="5">
        <v>2.8903951065275699E-2</v>
      </c>
      <c r="BT357" s="5">
        <v>0.115314862046098</v>
      </c>
      <c r="BU357" s="5">
        <v>-3.6518957322393103E-2</v>
      </c>
      <c r="BV357" s="5">
        <v>7.2568444326829296E-2</v>
      </c>
      <c r="BW357" s="5">
        <v>4.1532577517920402E-2</v>
      </c>
      <c r="BX357" s="5">
        <v>0.105678359668552</v>
      </c>
      <c r="BY357" s="5">
        <v>-2.46141208893122E-2</v>
      </c>
      <c r="BZ357" s="5">
        <v>0.119793236098062</v>
      </c>
      <c r="CA357" s="5">
        <v>4.4668903095178801E-4</v>
      </c>
      <c r="CB357" s="5">
        <v>5.4372459997767901E-2</v>
      </c>
      <c r="CC357" s="5">
        <v>1.90245807209407E-3</v>
      </c>
      <c r="CD357" s="5">
        <v>2.4052049543418299E-2</v>
      </c>
      <c r="CE357" s="5">
        <v>1.53647282442082E-2</v>
      </c>
      <c r="CF357" s="5">
        <v>4.6160182214127002E-2</v>
      </c>
      <c r="CG357" s="5">
        <v>1.1859191051872799E-2</v>
      </c>
      <c r="CH357" s="5">
        <v>0.11889371308659601</v>
      </c>
      <c r="CI357" s="5">
        <v>-5.3666840485629003E-2</v>
      </c>
      <c r="CJ357" s="5">
        <v>5.5281572413604603E-2</v>
      </c>
      <c r="CK357" s="5">
        <v>7.7063521564931806E-2</v>
      </c>
      <c r="CL357" s="5">
        <v>-0.37464589852081198</v>
      </c>
      <c r="CM357" s="5">
        <v>0.34740975334895002</v>
      </c>
      <c r="CN357" s="5">
        <v>-0.319983020107799</v>
      </c>
      <c r="CO357" s="5">
        <v>0.30003446278293</v>
      </c>
      <c r="CP357" s="5">
        <v>8.4535885196803107E-2</v>
      </c>
      <c r="CQ357" s="5">
        <v>-4.99933117697633E-2</v>
      </c>
      <c r="CR357" s="5">
        <v>4.55429919152417E-2</v>
      </c>
      <c r="CS357" s="5">
        <v>-3.4103522861667401E-2</v>
      </c>
      <c r="CT357" s="5">
        <v>-0.198393397846581</v>
      </c>
      <c r="CU357" s="5">
        <v>0.12791126961655699</v>
      </c>
      <c r="CV357" s="5">
        <v>-3.5863010289449199E-3</v>
      </c>
      <c r="CW357" s="5">
        <v>6.4804455616302201E-2</v>
      </c>
      <c r="CX357" s="5">
        <v>0.154810066025105</v>
      </c>
      <c r="CY357" s="5">
        <v>-4.5321222781998197E-2</v>
      </c>
      <c r="CZ357" s="5">
        <v>6.5850078056850003E-2</v>
      </c>
      <c r="DA357" s="5">
        <v>3.8493115671778697E-2</v>
      </c>
      <c r="DB357" s="5">
        <v>0.171598923725682</v>
      </c>
      <c r="DC357" s="5">
        <v>-4.5928997094453597E-2</v>
      </c>
      <c r="DD357" s="5">
        <v>6.5144202264500201E-3</v>
      </c>
      <c r="DE357" s="5">
        <v>5.0953150059667801E-2</v>
      </c>
      <c r="DF357" s="5">
        <v>0.149965772235409</v>
      </c>
      <c r="DG357" s="5">
        <v>-5.9016764276328598E-2</v>
      </c>
      <c r="DH357" s="5">
        <v>-7.1659243595232097E-2</v>
      </c>
      <c r="DI357" s="5">
        <v>6.9235489015709806E-2</v>
      </c>
      <c r="DJ357" s="5">
        <v>-0.16568403967862</v>
      </c>
      <c r="DK357" s="5">
        <v>4.9659536881806597E-2</v>
      </c>
      <c r="DL357" s="5">
        <v>3.4587902483058403E-2</v>
      </c>
      <c r="DM357" s="5">
        <v>3.1619246518601402E-2</v>
      </c>
      <c r="DN357" s="5">
        <v>-0.14360825504055799</v>
      </c>
      <c r="DO357" s="5">
        <v>-1.7311668054148799E-2</v>
      </c>
      <c r="DP357" s="5">
        <v>6.8887612034457493E-2</v>
      </c>
      <c r="DQ357" s="5">
        <v>2.0475239624478701E-2</v>
      </c>
      <c r="DR357" s="5">
        <v>-0.27982249635869899</v>
      </c>
      <c r="DS357" s="5">
        <v>0.28451120664007901</v>
      </c>
      <c r="DT357" s="5">
        <v>5.60090098266093E-2</v>
      </c>
      <c r="DU357" s="5">
        <v>-7.2425000804653503E-3</v>
      </c>
      <c r="DV357" s="5">
        <v>4.50607695479948E-4</v>
      </c>
      <c r="DW357" s="5">
        <v>6.2079594767502001E-2</v>
      </c>
      <c r="DX357" s="5">
        <v>-0.185534930147604</v>
      </c>
      <c r="DY357" s="5">
        <v>7.1526698967460001E-2</v>
      </c>
      <c r="DZ357" s="5">
        <v>-0.59353511826109795</v>
      </c>
      <c r="EA357" s="5">
        <v>0.54496855548460599</v>
      </c>
      <c r="EB357" s="5">
        <v>5.6069195156968302E-2</v>
      </c>
      <c r="EC357" s="5">
        <v>2.8876684481540901E-3</v>
      </c>
      <c r="ED357" s="5">
        <v>9.9414777782436195E-2</v>
      </c>
      <c r="EE357" s="5">
        <v>-5.5829839008178998E-2</v>
      </c>
      <c r="EF357" s="5">
        <v>5.91464071004714E-2</v>
      </c>
      <c r="EG357" s="5">
        <v>-3.5268850113842898E-2</v>
      </c>
      <c r="EH357" s="5">
        <v>-3.7246597983065302E-3</v>
      </c>
      <c r="EI357" s="5">
        <v>8.6557112053586696E-2</v>
      </c>
      <c r="EJ357" s="5">
        <v>2.1849457341645399E-2</v>
      </c>
      <c r="EK357" s="5">
        <v>4.5400428853068803E-2</v>
      </c>
      <c r="EL357" s="5">
        <v>0.104525187332733</v>
      </c>
      <c r="EM357" s="5">
        <v>-4.0293979711020597E-2</v>
      </c>
      <c r="EN357" s="5">
        <v>-0.27034915252268299</v>
      </c>
      <c r="EO357" s="5">
        <v>0.36820129396080598</v>
      </c>
      <c r="EP357" s="5">
        <v>-3.0984698702279E-2</v>
      </c>
      <c r="EQ357" s="5">
        <v>5.1102421408711497E-2</v>
      </c>
      <c r="ER357" s="5">
        <v>7.6287543772832297E-2</v>
      </c>
      <c r="ES357" s="5">
        <v>3.9997379709705502E-2</v>
      </c>
      <c r="ET357" s="5">
        <v>0.129507569142219</v>
      </c>
      <c r="EU357" s="5">
        <v>-3.1004807303697798E-2</v>
      </c>
      <c r="EV357" s="5">
        <v>0.19633666949392001</v>
      </c>
      <c r="EW357" s="5">
        <v>-7.7926651749502501E-2</v>
      </c>
      <c r="EX357" s="5">
        <v>0.16560921156587799</v>
      </c>
      <c r="EY357" s="5">
        <v>-7.7987734662137806E-2</v>
      </c>
      <c r="EZ357" s="5">
        <v>6.3107211546903005E-2</v>
      </c>
      <c r="FA357" s="5">
        <v>3.90010519359495E-2</v>
      </c>
      <c r="FB357" s="5">
        <v>-0.43920204753230202</v>
      </c>
      <c r="FC357" s="5">
        <v>0.50144092236205795</v>
      </c>
      <c r="FD357" s="5">
        <v>1.9552894286591099E-2</v>
      </c>
      <c r="FE357" s="5">
        <v>4.73953241455995E-2</v>
      </c>
      <c r="FF357" s="5">
        <v>-0.46389574001538197</v>
      </c>
      <c r="FG357" s="5">
        <v>0.50130099241286896</v>
      </c>
      <c r="FH357" s="5">
        <v>0.15555641456296301</v>
      </c>
      <c r="FI357" s="5">
        <v>-0.110365909459356</v>
      </c>
      <c r="FJ357" s="5">
        <v>9.7518125598243702E-2</v>
      </c>
      <c r="FK357" s="5">
        <v>7.2573945070405401E-3</v>
      </c>
      <c r="FL357" s="5">
        <v>-0.105316453510372</v>
      </c>
      <c r="FM357" s="5">
        <v>-3.1954353382718403E-2</v>
      </c>
      <c r="FN357" s="5">
        <v>-3.6779316570083098E-2</v>
      </c>
      <c r="FO357" s="5">
        <v>0.13860928973227299</v>
      </c>
      <c r="FP357" s="5">
        <v>0.17218609098607901</v>
      </c>
      <c r="FQ357" s="5">
        <v>-4.2055228703431202E-2</v>
      </c>
      <c r="FR357" s="5">
        <v>-9.5108977017169596E-2</v>
      </c>
      <c r="FS357" s="5">
        <v>-0.14821064832835901</v>
      </c>
      <c r="FT357" s="5">
        <v>9.2776941648403305E-2</v>
      </c>
      <c r="FU357" s="5">
        <v>2.8855655428145E-2</v>
      </c>
      <c r="FV357" s="5">
        <v>-0.30464202580298899</v>
      </c>
      <c r="FW357" s="5">
        <v>0.387406718484542</v>
      </c>
      <c r="FX357" s="5">
        <v>6.5070095518183796E-2</v>
      </c>
      <c r="FY357" s="5">
        <v>-2.9297572957747198E-2</v>
      </c>
      <c r="FZ357" s="5">
        <v>5.1031061097064498E-2</v>
      </c>
      <c r="GA357" s="5">
        <v>6.92984951415309E-2</v>
      </c>
      <c r="GB357" s="5">
        <v>-0.38777611728567901</v>
      </c>
      <c r="GC357" s="5">
        <v>0.44939608357695099</v>
      </c>
      <c r="GD357" s="5">
        <v>-0.288064635443124</v>
      </c>
      <c r="GE357" s="5">
        <v>0.192632790538215</v>
      </c>
      <c r="GF357" s="5">
        <v>8.3194782892019703E-2</v>
      </c>
      <c r="GG357" s="5">
        <v>1.2319921073153399E-2</v>
      </c>
      <c r="GH357" s="5">
        <v>-0.20140453581124301</v>
      </c>
      <c r="GI357" s="5">
        <v>3.6487396596273702E-2</v>
      </c>
      <c r="GJ357" s="5">
        <v>9.6772884795892106E-2</v>
      </c>
      <c r="GK357" s="5">
        <v>-2.66631871834373E-3</v>
      </c>
      <c r="GL357" s="5">
        <v>7.4655615809490899E-2</v>
      </c>
      <c r="GM357" s="5">
        <v>-3.7499579356406597E-2</v>
      </c>
      <c r="GN357" s="5">
        <v>-0.27790377735282701</v>
      </c>
      <c r="GO357" s="5">
        <v>0.314527796164153</v>
      </c>
      <c r="GP357" s="5">
        <v>0.19866998551055701</v>
      </c>
      <c r="GQ357" s="5">
        <v>-4.7569632839932097E-2</v>
      </c>
      <c r="GR357" s="5">
        <v>7.3086943724182896E-2</v>
      </c>
      <c r="GS357" s="5">
        <v>-1.7686530143489001E-2</v>
      </c>
      <c r="GT357" s="5">
        <v>-0.17685085092963199</v>
      </c>
      <c r="GU357" s="5">
        <v>0.269243895898434</v>
      </c>
      <c r="GV357" s="5">
        <v>-1.1052698105551799E-3</v>
      </c>
      <c r="GW357" s="5">
        <v>3.4216190066252303E-2</v>
      </c>
      <c r="GX357" s="5">
        <v>0.13093650209722599</v>
      </c>
      <c r="GY357" s="5">
        <v>-1.7523783920403501E-2</v>
      </c>
      <c r="GZ357" s="5">
        <v>-0.408095016035668</v>
      </c>
      <c r="HA357" s="5">
        <v>0.37372909402979099</v>
      </c>
      <c r="HB357" s="5">
        <v>7.8704952696921293E-2</v>
      </c>
      <c r="HC357" s="5">
        <v>1.34590705709245E-2</v>
      </c>
      <c r="HD357" s="5">
        <v>-4.61579039640517E-2</v>
      </c>
      <c r="HE357" s="5">
        <v>-9.6479942579485195E-2</v>
      </c>
      <c r="HF357" s="5">
        <v>-0.20315344658732901</v>
      </c>
      <c r="HG357" s="5">
        <v>0.10323445760649801</v>
      </c>
      <c r="HH357" s="5">
        <v>-0.32351234144524499</v>
      </c>
      <c r="HI357" s="5">
        <v>0.31804193972436001</v>
      </c>
      <c r="HJ357" s="5">
        <v>-0.19620541727538801</v>
      </c>
      <c r="HK357" s="5">
        <v>9.5265639045785902E-2</v>
      </c>
      <c r="HL357" s="5">
        <v>0.12006132900793499</v>
      </c>
      <c r="HM357" s="5">
        <v>-7.8939473515557704E-2</v>
      </c>
      <c r="HN357" s="5">
        <v>-0.48029875925338</v>
      </c>
      <c r="HO357" s="5">
        <v>0.49133815820363502</v>
      </c>
      <c r="HP357" s="5">
        <v>5.0918816759143302E-2</v>
      </c>
      <c r="HQ357" s="5">
        <v>5.29921720219255E-2</v>
      </c>
      <c r="HR357" s="5">
        <v>0.143936292369091</v>
      </c>
      <c r="HS357" s="5">
        <v>-4.4649725428822902E-2</v>
      </c>
      <c r="HT357" s="5">
        <v>-0.56879311842400904</v>
      </c>
      <c r="HU357" s="5">
        <v>0.63482893831111298</v>
      </c>
      <c r="HV357" s="5">
        <v>0.11627265969042</v>
      </c>
      <c r="HW357" s="5">
        <v>-4.52931837080945E-2</v>
      </c>
      <c r="HX357" s="5">
        <v>9.3721628149124395E-2</v>
      </c>
      <c r="HY357" s="5">
        <v>-1.4666874959532899E-2</v>
      </c>
      <c r="HZ357" s="5">
        <v>-0.49217254264554899</v>
      </c>
      <c r="IA357" s="5">
        <v>0.47668563932380698</v>
      </c>
      <c r="IB357" s="5">
        <v>-0.217604400655658</v>
      </c>
      <c r="IC357" s="5">
        <v>7.7939401164971403E-2</v>
      </c>
      <c r="ID357" s="5">
        <v>4.66797616787114E-2</v>
      </c>
      <c r="IE357" s="5">
        <v>9.6417498490769901E-2</v>
      </c>
      <c r="IF357" s="5">
        <v>0.13062761666997999</v>
      </c>
      <c r="IG357" s="5">
        <v>-5.0733281509387697E-2</v>
      </c>
      <c r="IH357" s="5">
        <v>3.7178832351817001E-2</v>
      </c>
      <c r="II357" s="5">
        <v>-2.24919768186163E-2</v>
      </c>
      <c r="IJ357" s="5">
        <v>0.22168438480651301</v>
      </c>
      <c r="IK357" s="5">
        <v>-0.178010141701094</v>
      </c>
      <c r="IL357" s="5">
        <v>7.5332784158891899E-2</v>
      </c>
      <c r="IM357" s="5">
        <v>5.8799934096460102E-2</v>
      </c>
      <c r="IN357" s="5">
        <v>0.10917732938878701</v>
      </c>
      <c r="IO357" s="5">
        <v>-2.6615877553074301E-2</v>
      </c>
      <c r="IP357" s="5">
        <v>4.5474991960840698E-2</v>
      </c>
      <c r="IQ357" s="5">
        <v>3.70216413389561E-2</v>
      </c>
      <c r="IR357" s="5">
        <v>0.11482148381584401</v>
      </c>
      <c r="IS357" s="5">
        <v>-3.1927709940274801E-2</v>
      </c>
      <c r="IT357" s="5">
        <v>0.13051787669616499</v>
      </c>
      <c r="IU357" s="5">
        <v>-5.0648910709170401E-2</v>
      </c>
      <c r="IV357" s="5">
        <v>-4.9307923234031097E-3</v>
      </c>
      <c r="IW357" s="5">
        <v>4.5657907011237099E-2</v>
      </c>
      <c r="IX357" s="5">
        <v>8.0879976205434599E-3</v>
      </c>
      <c r="IY357" s="5">
        <v>8.0866510701588998E-2</v>
      </c>
      <c r="IZ357" s="5">
        <v>-0.27422516702941202</v>
      </c>
      <c r="JA357" s="5">
        <v>0.25296285909275201</v>
      </c>
      <c r="JB357" s="5">
        <v>-0.18998992404783199</v>
      </c>
      <c r="JC357" s="5">
        <v>2.8406833928868998E-2</v>
      </c>
      <c r="JD357" s="5">
        <v>-9.9822936586780903E-2</v>
      </c>
      <c r="JE357" s="5">
        <v>6.5429074072078403E-2</v>
      </c>
      <c r="JF357" s="5">
        <v>0.120763494173923</v>
      </c>
      <c r="JG357" s="5">
        <v>-8.37078493308267E-2</v>
      </c>
      <c r="JH357" s="5">
        <v>-0.23203579081095599</v>
      </c>
      <c r="JI357" s="5">
        <v>0.14233935206072501</v>
      </c>
      <c r="JJ357" s="5">
        <v>0.14109408417564301</v>
      </c>
      <c r="JK357" s="5">
        <v>-1.7277272116394401E-2</v>
      </c>
      <c r="JL357" s="5">
        <v>8.1606400798681505E-2</v>
      </c>
      <c r="JM357" s="5">
        <v>2.8742012113660401E-2</v>
      </c>
      <c r="JN357" s="5">
        <v>3.21173029028399E-2</v>
      </c>
      <c r="JO357" s="5">
        <v>3.6836869348934202E-2</v>
      </c>
      <c r="JP357" s="5">
        <v>0.12979728194738499</v>
      </c>
      <c r="JQ357" s="5">
        <v>-5.3836909116673902E-2</v>
      </c>
      <c r="JR357" s="5">
        <v>0.13181807273209101</v>
      </c>
      <c r="JS357" s="5">
        <v>-7.9027599698678494E-2</v>
      </c>
      <c r="JT357" s="5">
        <v>7.0254459372602093E-2</v>
      </c>
      <c r="JU357" s="5">
        <v>-3.1186080207583702E-2</v>
      </c>
      <c r="JV357" s="5">
        <v>0.207546830873857</v>
      </c>
      <c r="JW357" s="5">
        <v>-0.145475294384766</v>
      </c>
      <c r="JX357" s="5">
        <v>-0.28985419831846498</v>
      </c>
      <c r="JY357" s="5">
        <v>0.229280098896399</v>
      </c>
      <c r="JZ357" s="5">
        <v>7.78770675091352E-2</v>
      </c>
      <c r="KA357" s="5">
        <v>-2.60968100339189E-2</v>
      </c>
      <c r="KB357" s="5">
        <v>-0.39042455581471802</v>
      </c>
      <c r="KC357" s="5">
        <v>0.33393988881074399</v>
      </c>
      <c r="KD357" s="5">
        <v>2.9835243552727202E-2</v>
      </c>
      <c r="KE357" s="5">
        <v>2.8799930010735799E-2</v>
      </c>
      <c r="KF357" s="5">
        <v>0.16873773086978899</v>
      </c>
      <c r="KG357" s="5">
        <v>-0.124743738527113</v>
      </c>
      <c r="KH357" s="5">
        <v>5.6955117856944203E-2</v>
      </c>
      <c r="KI357" s="5">
        <v>5.7625330652800198E-2</v>
      </c>
      <c r="KJ357" s="5">
        <v>0.23992565397857901</v>
      </c>
      <c r="KK357" s="5">
        <v>-8.2536471913888798E-2</v>
      </c>
      <c r="KL357" s="5">
        <v>0.123177073545852</v>
      </c>
      <c r="KM357" s="5">
        <v>-0.11880208312615601</v>
      </c>
      <c r="KN357" s="5">
        <v>-0.53389238943398698</v>
      </c>
      <c r="KO357" s="5">
        <v>0.53647651521059603</v>
      </c>
      <c r="KP357" s="5">
        <v>-0.30561915406451501</v>
      </c>
      <c r="KQ357" s="5">
        <v>0.15419551202116499</v>
      </c>
      <c r="KR357" s="5">
        <v>-2.5686210880258398E-2</v>
      </c>
      <c r="KS357" s="5">
        <v>7.9970731239019197E-2</v>
      </c>
      <c r="KT357" s="5">
        <v>0.20423323788259001</v>
      </c>
      <c r="KU357" s="5">
        <v>-8.4170814535318605E-2</v>
      </c>
      <c r="KV357" s="5">
        <v>5.4614328427122903E-2</v>
      </c>
      <c r="KW357" s="5">
        <v>4.6478125329973502E-2</v>
      </c>
      <c r="KX357" s="5">
        <v>3.7894717184458102E-3</v>
      </c>
      <c r="KY357" s="5">
        <v>6.7977833305101501E-2</v>
      </c>
      <c r="KZ357" s="5">
        <v>0.18403884674260401</v>
      </c>
      <c r="LA357" s="5">
        <v>-0.15420375085340801</v>
      </c>
      <c r="LB357" s="5">
        <v>8.5713276521749093E-2</v>
      </c>
      <c r="LC357" s="5">
        <v>-4.3279253281796E-2</v>
      </c>
      <c r="LD357" s="5">
        <v>8.3782757411157593E-2</v>
      </c>
      <c r="LE357" s="5">
        <v>2.17184000289622E-2</v>
      </c>
      <c r="LF357" s="5">
        <v>-0.38807860271398698</v>
      </c>
      <c r="LG357" s="5">
        <v>0.441124041670241</v>
      </c>
      <c r="LH357" s="5">
        <v>0.120270960647679</v>
      </c>
      <c r="LI357" s="5">
        <v>-3.6736399153178799E-2</v>
      </c>
      <c r="LJ357" s="5">
        <v>-0.52361349774840604</v>
      </c>
      <c r="LK357" s="5">
        <v>0.58888562188770699</v>
      </c>
      <c r="LL357" s="5">
        <v>5.1510110700714401E-2</v>
      </c>
      <c r="LM357" s="5">
        <v>2.8995597619625099E-2</v>
      </c>
      <c r="LN357" s="5">
        <v>3.2655157023101802E-2</v>
      </c>
      <c r="LO357" s="5">
        <v>5.6202365024893104E-3</v>
      </c>
      <c r="LP357" s="5">
        <v>0.166067810450123</v>
      </c>
      <c r="LQ357" s="5">
        <v>-8.3418484115444905E-2</v>
      </c>
      <c r="LR357" s="5">
        <v>-0.39649229773487898</v>
      </c>
      <c r="LS357" s="5">
        <v>0.34985929592526599</v>
      </c>
      <c r="LT357" s="5">
        <v>-0.42137418068638</v>
      </c>
      <c r="LU357" s="5">
        <v>0.40779183625637799</v>
      </c>
      <c r="LV357" s="5">
        <v>-0.16199165058172799</v>
      </c>
      <c r="LW357" s="5">
        <v>2.93840685950141E-2</v>
      </c>
      <c r="LX357" s="5">
        <v>3.4517973275807599E-2</v>
      </c>
      <c r="LY357" s="5">
        <v>7.8199907077327296E-2</v>
      </c>
      <c r="LZ357" s="5">
        <v>9.2463565551496193E-2</v>
      </c>
      <c r="MA357" s="5">
        <v>-1.8898773367794299E-2</v>
      </c>
      <c r="MB357" s="5">
        <v>8.0395779961058803E-2</v>
      </c>
      <c r="MC357" s="5">
        <v>-1.9658547072505399E-2</v>
      </c>
      <c r="MD357" s="5">
        <v>9.3135363841644794E-2</v>
      </c>
      <c r="ME357" s="5">
        <v>-2.82791865815618E-2</v>
      </c>
      <c r="MF357" s="5">
        <v>-0.17233874926658499</v>
      </c>
      <c r="MG357" s="5">
        <v>3.1561988466055199E-3</v>
      </c>
      <c r="MH357" s="5">
        <v>-6.5672376005902602E-2</v>
      </c>
      <c r="MI357" s="5">
        <v>0.14373871870180999</v>
      </c>
      <c r="MJ357" s="5">
        <v>0.123061083320831</v>
      </c>
      <c r="MK357" s="5">
        <v>-9.4118710485701695E-2</v>
      </c>
      <c r="ML357" s="5">
        <v>0.13567385450228001</v>
      </c>
      <c r="MM357" s="5">
        <v>-0.12730715349596899</v>
      </c>
      <c r="MN357" s="5">
        <v>1.4762262353214499E-2</v>
      </c>
      <c r="MO357" s="5">
        <v>2.1453849108449899E-2</v>
      </c>
      <c r="MP357" s="5">
        <v>0.132923269933101</v>
      </c>
      <c r="MQ357" s="5">
        <v>-3.16470754888332E-2</v>
      </c>
      <c r="MR357" s="5">
        <v>-0.80075762945536699</v>
      </c>
      <c r="MS357" s="5">
        <v>1</v>
      </c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</row>
    <row r="358" spans="1:389" x14ac:dyDescent="0.45">
      <c r="A358" s="4" t="str">
        <f ca="1">"TUV / beta1dist in "&amp;CELL("address",'damages-1990'!$J$180)</f>
        <v>TUV / beta1dist in '[BHM betas v3pd.xlsx]damages-1990'!$J$180</v>
      </c>
      <c r="B358" s="6">
        <v>-5.8148296623630698E-2</v>
      </c>
      <c r="C358" s="5">
        <v>0.19731882664980499</v>
      </c>
      <c r="D358" s="5">
        <v>0.38375268224766901</v>
      </c>
      <c r="E358" s="5">
        <v>-0.34066802147409903</v>
      </c>
      <c r="F358" s="5">
        <v>-3.4316856411329998E-2</v>
      </c>
      <c r="G358" s="5">
        <v>0.110655511907645</v>
      </c>
      <c r="H358" s="5">
        <v>0.191432089949299</v>
      </c>
      <c r="I358" s="5">
        <v>-0.28750710167365201</v>
      </c>
      <c r="J358" s="5">
        <v>-3.31447067690513E-3</v>
      </c>
      <c r="K358" s="5">
        <v>9.8858099695275495E-2</v>
      </c>
      <c r="L358" s="5">
        <v>0.141204351121029</v>
      </c>
      <c r="M358" s="5">
        <v>3.8283834136459598E-3</v>
      </c>
      <c r="N358" s="5">
        <v>0.111135334157207</v>
      </c>
      <c r="O358" s="5">
        <v>-0.185430955715853</v>
      </c>
      <c r="P358" s="5">
        <v>0.235468909184223</v>
      </c>
      <c r="Q358" s="5">
        <v>-0.30360308312603801</v>
      </c>
      <c r="R358" s="5">
        <v>0.212627649822411</v>
      </c>
      <c r="S358" s="5">
        <v>-0.21143058012739599</v>
      </c>
      <c r="T358" s="5">
        <v>0.303154825380058</v>
      </c>
      <c r="U358" s="5">
        <v>-0.39499780429638798</v>
      </c>
      <c r="V358" s="5">
        <v>4.8703150413153401E-2</v>
      </c>
      <c r="W358" s="5">
        <v>7.2216840851058398E-3</v>
      </c>
      <c r="X358" s="5">
        <v>0.37357240443394302</v>
      </c>
      <c r="Y358" s="5">
        <v>-0.32022388074782998</v>
      </c>
      <c r="Z358" s="5">
        <v>0.14680133129581199</v>
      </c>
      <c r="AA358" s="5">
        <v>-0.197130037997061</v>
      </c>
      <c r="AB358" s="5">
        <v>0.30317000163173702</v>
      </c>
      <c r="AC358" s="5">
        <v>-0.25325624219113202</v>
      </c>
      <c r="AD358" s="5">
        <v>0.20148403909166801</v>
      </c>
      <c r="AE358" s="5">
        <v>-0.145304516714551</v>
      </c>
      <c r="AF358" s="5">
        <v>0.29547668993307002</v>
      </c>
      <c r="AG358" s="5">
        <v>-0.29635757217431502</v>
      </c>
      <c r="AH358" s="5">
        <v>1.0632377014664801E-2</v>
      </c>
      <c r="AI358" s="5">
        <v>8.5017174451949406E-3</v>
      </c>
      <c r="AJ358" s="5">
        <v>-2.5078110533705102E-2</v>
      </c>
      <c r="AK358" s="5">
        <v>9.2428871816009894E-2</v>
      </c>
      <c r="AL358" s="5">
        <v>-3.6181852387220201E-2</v>
      </c>
      <c r="AM358" s="5">
        <v>0.129599143914473</v>
      </c>
      <c r="AN358" s="5">
        <v>0.159040468424297</v>
      </c>
      <c r="AO358" s="5">
        <v>-0.21799668192259</v>
      </c>
      <c r="AP358" s="5">
        <v>0.22745114464456301</v>
      </c>
      <c r="AQ358" s="5">
        <v>-0.30566162970915101</v>
      </c>
      <c r="AR358" s="5">
        <v>0.166006921303748</v>
      </c>
      <c r="AS358" s="5">
        <v>-0.138570916422942</v>
      </c>
      <c r="AT358" s="5">
        <v>-0.141614614228214</v>
      </c>
      <c r="AU358" s="5">
        <v>0.28794655662055302</v>
      </c>
      <c r="AV358" s="5">
        <v>0.22579966084665901</v>
      </c>
      <c r="AW358" s="5">
        <v>-0.26044550394909199</v>
      </c>
      <c r="AX358" s="5">
        <v>0.28721498565150699</v>
      </c>
      <c r="AY358" s="5">
        <v>-0.33688070957118399</v>
      </c>
      <c r="AZ358" s="5">
        <v>0.345123733443914</v>
      </c>
      <c r="BA358" s="5">
        <v>-0.38295337532898599</v>
      </c>
      <c r="BB358" s="5">
        <v>0.174032870993924</v>
      </c>
      <c r="BC358" s="5">
        <v>-0.153062768841667</v>
      </c>
      <c r="BD358" s="5">
        <v>-6.8629307133113698E-3</v>
      </c>
      <c r="BE358" s="5">
        <v>0.102991116390194</v>
      </c>
      <c r="BF358" s="5">
        <v>0.37924743958636897</v>
      </c>
      <c r="BG358" s="5">
        <v>-0.37954152791838502</v>
      </c>
      <c r="BH358" s="5">
        <v>0.302818167483422</v>
      </c>
      <c r="BI358" s="5">
        <v>-0.290199198135142</v>
      </c>
      <c r="BJ358" s="5">
        <v>7.9640189931070096E-2</v>
      </c>
      <c r="BK358" s="5">
        <v>-0.126982890211253</v>
      </c>
      <c r="BL358" s="5">
        <v>0.31960556673114698</v>
      </c>
      <c r="BM358" s="5">
        <v>-0.43596286984344201</v>
      </c>
      <c r="BN358" s="5">
        <v>-7.4080205384459794E-2</v>
      </c>
      <c r="BO358" s="5">
        <v>0.10356361755231901</v>
      </c>
      <c r="BP358" s="5">
        <v>-8.6425101842488805E-2</v>
      </c>
      <c r="BQ358" s="5">
        <v>0.164813293888735</v>
      </c>
      <c r="BR358" s="5">
        <v>0.24604936272884401</v>
      </c>
      <c r="BS358" s="5">
        <v>-0.201661242266337</v>
      </c>
      <c r="BT358" s="5">
        <v>0.263105771105064</v>
      </c>
      <c r="BU358" s="5">
        <v>-0.248349327017515</v>
      </c>
      <c r="BV358" s="5">
        <v>0.27358215350305198</v>
      </c>
      <c r="BW358" s="5">
        <v>-0.23513214655988399</v>
      </c>
      <c r="BX358" s="5">
        <v>0.31017991097195602</v>
      </c>
      <c r="BY358" s="5">
        <v>-0.305050277701716</v>
      </c>
      <c r="BZ358" s="5">
        <v>0.29337219373200302</v>
      </c>
      <c r="CA358" s="5">
        <v>-0.27500881570385</v>
      </c>
      <c r="CB358" s="5">
        <v>0.282117947790823</v>
      </c>
      <c r="CC358" s="5">
        <v>-0.33009275172595698</v>
      </c>
      <c r="CD358" s="5">
        <v>-0.10782270157172801</v>
      </c>
      <c r="CE358" s="5">
        <v>0.117051005864984</v>
      </c>
      <c r="CF358" s="5">
        <v>0.27214300844327699</v>
      </c>
      <c r="CG358" s="5">
        <v>-0.24828050550466399</v>
      </c>
      <c r="CH358" s="5">
        <v>9.2692525114503703E-3</v>
      </c>
      <c r="CI358" s="5">
        <v>5.9755341979707999E-2</v>
      </c>
      <c r="CJ358" s="5">
        <v>-0.17384136060991001</v>
      </c>
      <c r="CK358" s="5">
        <v>0.31335964498608898</v>
      </c>
      <c r="CL358" s="5">
        <v>0.25709355607001599</v>
      </c>
      <c r="CM358" s="5">
        <v>-0.338251774832458</v>
      </c>
      <c r="CN358" s="5">
        <v>0.20643213996545101</v>
      </c>
      <c r="CO358" s="5">
        <v>-0.28202347570847203</v>
      </c>
      <c r="CP358" s="5">
        <v>0.24847495827058999</v>
      </c>
      <c r="CQ358" s="5">
        <v>-0.212892127111974</v>
      </c>
      <c r="CR358" s="5">
        <v>0.30294010804757598</v>
      </c>
      <c r="CS358" s="5">
        <v>-0.36485371660503801</v>
      </c>
      <c r="CT358" s="5">
        <v>0.20993869251969499</v>
      </c>
      <c r="CU358" s="5">
        <v>-0.28811407556192697</v>
      </c>
      <c r="CV358" s="5">
        <v>0.31377692915448502</v>
      </c>
      <c r="CW358" s="5">
        <v>-0.38769239657472598</v>
      </c>
      <c r="CX358" s="5">
        <v>0.114853203382311</v>
      </c>
      <c r="CY358" s="5">
        <v>-3.6436536237653999E-2</v>
      </c>
      <c r="CZ358" s="5">
        <v>0.32184157609670999</v>
      </c>
      <c r="DA358" s="5">
        <v>-0.31788587784425998</v>
      </c>
      <c r="DB358" s="5">
        <v>6.3533995611529906E-2</v>
      </c>
      <c r="DC358" s="5">
        <v>2.1384883190281399E-2</v>
      </c>
      <c r="DD358" s="5">
        <v>0.26328200205279201</v>
      </c>
      <c r="DE358" s="5">
        <v>-0.23216019260326101</v>
      </c>
      <c r="DF358" s="5">
        <v>-8.5411376264535502E-2</v>
      </c>
      <c r="DG358" s="5">
        <v>0.17204745706017199</v>
      </c>
      <c r="DH358" s="5">
        <v>-2.44672922283133E-2</v>
      </c>
      <c r="DI358" s="5">
        <v>0.122783744786251</v>
      </c>
      <c r="DJ358" s="5">
        <v>0.18214379903418601</v>
      </c>
      <c r="DK358" s="5">
        <v>-0.26140425597957201</v>
      </c>
      <c r="DL358" s="5">
        <v>0.22951521893924101</v>
      </c>
      <c r="DM358" s="5">
        <v>-0.17891126571114399</v>
      </c>
      <c r="DN358" s="5">
        <v>0.12946167927364199</v>
      </c>
      <c r="DO358" s="5">
        <v>-0.23213864715040899</v>
      </c>
      <c r="DP358" s="5">
        <v>-2.1734710657222801E-2</v>
      </c>
      <c r="DQ358" s="5">
        <v>0.103172631718144</v>
      </c>
      <c r="DR358" s="5">
        <v>9.0638969893756804E-2</v>
      </c>
      <c r="DS358" s="5">
        <v>-9.6402191669401796E-2</v>
      </c>
      <c r="DT358" s="5">
        <v>0.32402900837055698</v>
      </c>
      <c r="DU358" s="5">
        <v>-0.29580690326000397</v>
      </c>
      <c r="DV358" s="5">
        <v>0.27406547084313498</v>
      </c>
      <c r="DW358" s="5">
        <v>-0.26106080703358697</v>
      </c>
      <c r="DX358" s="5">
        <v>8.2629334233707205E-2</v>
      </c>
      <c r="DY358" s="5">
        <v>-0.119503769105024</v>
      </c>
      <c r="DZ358" s="5">
        <v>0.11096653721654</v>
      </c>
      <c r="EA358" s="5">
        <v>-0.20052450984810999</v>
      </c>
      <c r="EB358" s="5">
        <v>0.23217331342491099</v>
      </c>
      <c r="EC358" s="5">
        <v>-0.19235777155415501</v>
      </c>
      <c r="ED358" s="5">
        <v>0.300886823976447</v>
      </c>
      <c r="EE358" s="5">
        <v>-0.26041322093450803</v>
      </c>
      <c r="EF358" s="5">
        <v>0.29356987919080801</v>
      </c>
      <c r="EG358" s="5">
        <v>-0.350354094712237</v>
      </c>
      <c r="EH358" s="5">
        <v>0.137137610273809</v>
      </c>
      <c r="EI358" s="5">
        <v>-8.9747150652904006E-2</v>
      </c>
      <c r="EJ358" s="5">
        <v>0.149581175339906</v>
      </c>
      <c r="EK358" s="5">
        <v>-0.130333795328201</v>
      </c>
      <c r="EL358" s="5">
        <v>0.22273393492679</v>
      </c>
      <c r="EM358" s="5">
        <v>-0.183824930229745</v>
      </c>
      <c r="EN358" s="5">
        <v>-0.20648360248900599</v>
      </c>
      <c r="EO358" s="5">
        <v>0.34343049848201901</v>
      </c>
      <c r="EP358" s="5">
        <v>0.42424790531755102</v>
      </c>
      <c r="EQ358" s="5">
        <v>-0.47737658738911898</v>
      </c>
      <c r="ER358" s="5">
        <v>0.20534305414760801</v>
      </c>
      <c r="ES358" s="5">
        <v>-0.206149379124486</v>
      </c>
      <c r="ET358" s="5">
        <v>0.28983290761533498</v>
      </c>
      <c r="EU358" s="5">
        <v>-0.355584633626923</v>
      </c>
      <c r="EV358" s="5">
        <v>0.26489320355849899</v>
      </c>
      <c r="EW358" s="5">
        <v>-0.30041507677635199</v>
      </c>
      <c r="EX358" s="5">
        <v>0.30851519850993497</v>
      </c>
      <c r="EY358" s="5">
        <v>-0.436636229801733</v>
      </c>
      <c r="EZ358" s="5">
        <v>0.17033322781516699</v>
      </c>
      <c r="FA358" s="5">
        <v>-0.13801041016875401</v>
      </c>
      <c r="FB358" s="5">
        <v>3.0447722374725799E-2</v>
      </c>
      <c r="FC358" s="5">
        <v>-1.11275434786204E-2</v>
      </c>
      <c r="FD358" s="5">
        <v>0.19699284919430299</v>
      </c>
      <c r="FE358" s="5">
        <v>-0.23461854598924101</v>
      </c>
      <c r="FF358" s="5">
        <v>8.4437790014888797E-2</v>
      </c>
      <c r="FG358" s="5">
        <v>-9.8678445445416804E-2</v>
      </c>
      <c r="FH358" s="5">
        <v>0.17777163846593999</v>
      </c>
      <c r="FI358" s="5">
        <v>-0.140340367590364</v>
      </c>
      <c r="FJ358" s="5">
        <v>0.20941596032510201</v>
      </c>
      <c r="FK358" s="5">
        <v>-0.131934579601409</v>
      </c>
      <c r="FL358" s="5">
        <v>-2.22533665568969E-2</v>
      </c>
      <c r="FM358" s="5">
        <v>3.4875507428728698E-2</v>
      </c>
      <c r="FN358" s="5">
        <v>5.0774078199507799E-2</v>
      </c>
      <c r="FO358" s="5">
        <v>8.2053953963828502E-2</v>
      </c>
      <c r="FP358" s="5">
        <v>7.2019130314553995E-2</v>
      </c>
      <c r="FQ358" s="5">
        <v>4.3781180468964197E-2</v>
      </c>
      <c r="FR358" s="5">
        <v>-0.280491178013345</v>
      </c>
      <c r="FS358" s="5">
        <v>0.283797075042164</v>
      </c>
      <c r="FT358" s="5">
        <v>4.7616852143915901E-2</v>
      </c>
      <c r="FU358" s="5">
        <v>4.8702505645657E-2</v>
      </c>
      <c r="FV358" s="5">
        <v>-5.5840714631932097E-2</v>
      </c>
      <c r="FW358" s="5">
        <v>0.17546668146856201</v>
      </c>
      <c r="FX358" s="5">
        <v>7.0562661226900705E-2</v>
      </c>
      <c r="FY358" s="5">
        <v>-7.4444371997876499E-2</v>
      </c>
      <c r="FZ358" s="5">
        <v>7.6050466778968706E-2</v>
      </c>
      <c r="GA358" s="5">
        <v>1.14906037977006E-2</v>
      </c>
      <c r="GB358" s="5">
        <v>8.2817965979790603E-2</v>
      </c>
      <c r="GC358" s="5">
        <v>-6.6927093383342698E-2</v>
      </c>
      <c r="GD358" s="5">
        <v>0.19146642726232599</v>
      </c>
      <c r="GE358" s="5">
        <v>-0.23192800310139899</v>
      </c>
      <c r="GF358" s="5">
        <v>5.51328717673727E-2</v>
      </c>
      <c r="GG358" s="5">
        <v>-3.4225656877719203E-2</v>
      </c>
      <c r="GH358" s="5">
        <v>-0.13031209119953499</v>
      </c>
      <c r="GI358" s="5">
        <v>0.12556467928936199</v>
      </c>
      <c r="GJ358" s="5">
        <v>0.11215637433801701</v>
      </c>
      <c r="GK358" s="5">
        <v>-5.2759094491251102E-2</v>
      </c>
      <c r="GL358" s="5">
        <v>0.36579102009957998</v>
      </c>
      <c r="GM358" s="5">
        <v>-0.41577546723175002</v>
      </c>
      <c r="GN358" s="5">
        <v>4.69733475866514E-2</v>
      </c>
      <c r="GO358" s="5">
        <v>-1.63182922849106E-2</v>
      </c>
      <c r="GP358" s="5">
        <v>0.13286776163358299</v>
      </c>
      <c r="GQ358" s="5">
        <v>-7.2566469591235805E-2</v>
      </c>
      <c r="GR358" s="5">
        <v>0.214953931101899</v>
      </c>
      <c r="GS358" s="5">
        <v>-0.22065088832897201</v>
      </c>
      <c r="GT358" s="5">
        <v>-1.5865892524444401E-2</v>
      </c>
      <c r="GU358" s="5">
        <v>0.13257834124815601</v>
      </c>
      <c r="GV358" s="5">
        <v>0.27661543566780999</v>
      </c>
      <c r="GW358" s="5">
        <v>-0.28881424503101499</v>
      </c>
      <c r="GX358" s="5">
        <v>0.139521120132648</v>
      </c>
      <c r="GY358" s="5">
        <v>-8.0583886441438907E-2</v>
      </c>
      <c r="GZ358" s="5">
        <v>0.34499921097397301</v>
      </c>
      <c r="HA358" s="5">
        <v>-0.45929097465458901</v>
      </c>
      <c r="HB358" s="5">
        <v>0.13601476124506001</v>
      </c>
      <c r="HC358" s="5">
        <v>-0.18660060413537699</v>
      </c>
      <c r="HD358" s="5">
        <v>0.11512878144347199</v>
      </c>
      <c r="HE358" s="5">
        <v>-8.8627144478768405E-2</v>
      </c>
      <c r="HF358" s="5">
        <v>0.22845767831338601</v>
      </c>
      <c r="HG358" s="5">
        <v>-0.307727575114359</v>
      </c>
      <c r="HH358" s="5">
        <v>0.164838003232918</v>
      </c>
      <c r="HI358" s="5">
        <v>-0.22592324767254099</v>
      </c>
      <c r="HJ358" s="5">
        <v>0.21352512605558299</v>
      </c>
      <c r="HK358" s="5">
        <v>-0.28889030754663603</v>
      </c>
      <c r="HL358" s="5">
        <v>-9.7711725645420702E-2</v>
      </c>
      <c r="HM358" s="5">
        <v>0.189548779623847</v>
      </c>
      <c r="HN358" s="5">
        <v>8.3333508890619801E-2</v>
      </c>
      <c r="HO358" s="5">
        <v>-0.12977390845119699</v>
      </c>
      <c r="HP358" s="5">
        <v>3.7408254679091403E-2</v>
      </c>
      <c r="HQ358" s="5">
        <v>3.18967930002843E-3</v>
      </c>
      <c r="HR358" s="5">
        <v>0.23870155761185</v>
      </c>
      <c r="HS358" s="5">
        <v>-0.26875236327220903</v>
      </c>
      <c r="HT358" s="5">
        <v>5.3463662024179598E-2</v>
      </c>
      <c r="HU358" s="5">
        <v>-4.6082187957082799E-2</v>
      </c>
      <c r="HV358" s="5">
        <v>0.20019014260375101</v>
      </c>
      <c r="HW358" s="5">
        <v>-0.130453328669424</v>
      </c>
      <c r="HX358" s="5">
        <v>0.274699758380057</v>
      </c>
      <c r="HY358" s="5">
        <v>-0.25135666800545498</v>
      </c>
      <c r="HZ358" s="5">
        <v>0.16673807044014699</v>
      </c>
      <c r="IA358" s="5">
        <v>-0.247987095318113</v>
      </c>
      <c r="IB358" s="5">
        <v>-2.9781511510044802E-2</v>
      </c>
      <c r="IC358" s="5">
        <v>2.9140136018724201E-4</v>
      </c>
      <c r="ID358" s="5">
        <v>0.18936026517482901</v>
      </c>
      <c r="IE358" s="5">
        <v>-0.18757393144523399</v>
      </c>
      <c r="IF358" s="5">
        <v>6.1470674604688198E-2</v>
      </c>
      <c r="IG358" s="5">
        <v>4.1146163962552801E-2</v>
      </c>
      <c r="IH358" s="5">
        <v>0.28295475431442801</v>
      </c>
      <c r="II358" s="5">
        <v>-0.34468169496971102</v>
      </c>
      <c r="IJ358" s="5">
        <v>6.5197052639381997E-2</v>
      </c>
      <c r="IK358" s="5">
        <v>-4.2818613517621798E-3</v>
      </c>
      <c r="IL358" s="5">
        <v>3.86441145808133E-2</v>
      </c>
      <c r="IM358" s="5">
        <v>2.3515267901422401E-2</v>
      </c>
      <c r="IN358" s="5">
        <v>0.19839683470837899</v>
      </c>
      <c r="IO358" s="5">
        <v>-0.14988274959713499</v>
      </c>
      <c r="IP358" s="5">
        <v>0.449928507630037</v>
      </c>
      <c r="IQ358" s="5">
        <v>-0.45206830919740199</v>
      </c>
      <c r="IR358" s="5">
        <v>-0.23363125467024501</v>
      </c>
      <c r="IS358" s="5">
        <v>0.27203732204393299</v>
      </c>
      <c r="IT358" s="5">
        <v>0.197951805848467</v>
      </c>
      <c r="IU358" s="5">
        <v>-0.14218719283217801</v>
      </c>
      <c r="IV358" s="5">
        <v>0.210332592290295</v>
      </c>
      <c r="IW358" s="5">
        <v>-0.15822345423433801</v>
      </c>
      <c r="IX358" s="5">
        <v>0.22707411391757401</v>
      </c>
      <c r="IY358" s="5">
        <v>-0.20861337391521201</v>
      </c>
      <c r="IZ358" s="5">
        <v>0.17575052393304699</v>
      </c>
      <c r="JA358" s="5">
        <v>-0.23044075653430701</v>
      </c>
      <c r="JB358" s="5">
        <v>0.16298246352241</v>
      </c>
      <c r="JC358" s="5">
        <v>-0.28744341774784898</v>
      </c>
      <c r="JD358" s="5">
        <v>7.2676803750548998E-3</v>
      </c>
      <c r="JE358" s="5">
        <v>9.2861134460405198E-2</v>
      </c>
      <c r="JF358" s="5">
        <v>0.73901837655125302</v>
      </c>
      <c r="JG358" s="5">
        <v>-0.73068078409455495</v>
      </c>
      <c r="JH358" s="5">
        <v>5.7512852087184499E-2</v>
      </c>
      <c r="JI358" s="5">
        <v>-4.5620061454216897E-2</v>
      </c>
      <c r="JJ358" s="5">
        <v>0.23846697040576501</v>
      </c>
      <c r="JK358" s="5">
        <v>-0.150948988542218</v>
      </c>
      <c r="JL358" s="5">
        <v>-6.4602395819607E-2</v>
      </c>
      <c r="JM358" s="5">
        <v>0.14104698250984399</v>
      </c>
      <c r="JN358" s="5">
        <v>0.244233940419815</v>
      </c>
      <c r="JO358" s="5">
        <v>-0.27361605224596802</v>
      </c>
      <c r="JP358" s="5">
        <v>0.201581473085645</v>
      </c>
      <c r="JQ358" s="5">
        <v>-0.18601288892491799</v>
      </c>
      <c r="JR358" s="5">
        <v>0.134300641048062</v>
      </c>
      <c r="JS358" s="5">
        <v>-0.13778934314014399</v>
      </c>
      <c r="JT358" s="5">
        <v>0.12854636113220499</v>
      </c>
      <c r="JU358" s="5">
        <v>-6.8021774640470406E-2</v>
      </c>
      <c r="JV358" s="5">
        <v>0.17191824600063099</v>
      </c>
      <c r="JW358" s="5">
        <v>-7.7152126269479496E-2</v>
      </c>
      <c r="JX358" s="5">
        <v>0.25138898421365102</v>
      </c>
      <c r="JY358" s="5">
        <v>-0.32845937337614001</v>
      </c>
      <c r="JZ358" s="5">
        <v>0.29206132374799898</v>
      </c>
      <c r="KA358" s="5">
        <v>-0.36548091780730002</v>
      </c>
      <c r="KB358" s="5">
        <v>0.10175234800838701</v>
      </c>
      <c r="KC358" s="5">
        <v>-0.14888232093708401</v>
      </c>
      <c r="KD358" s="5">
        <v>-0.15180898891026601</v>
      </c>
      <c r="KE358" s="5">
        <v>0.29407217009801201</v>
      </c>
      <c r="KF358" s="5">
        <v>0.20326995440708301</v>
      </c>
      <c r="KG358" s="5">
        <v>-4.4999181745579098E-2</v>
      </c>
      <c r="KH358" s="5">
        <v>5.3439396004872401E-2</v>
      </c>
      <c r="KI358" s="5">
        <v>3.6769047097446397E-2</v>
      </c>
      <c r="KJ358" s="5">
        <v>-4.3687264320453702E-2</v>
      </c>
      <c r="KK358" s="5">
        <v>0.116195721915238</v>
      </c>
      <c r="KL358" s="5">
        <v>5.6793279725778599E-2</v>
      </c>
      <c r="KM358" s="5">
        <v>-5.8571146030352503E-3</v>
      </c>
      <c r="KN358" s="5">
        <v>0.14411496231579801</v>
      </c>
      <c r="KO358" s="5">
        <v>-0.21391323092450601</v>
      </c>
      <c r="KP358" s="5">
        <v>-8.8735224144388405E-2</v>
      </c>
      <c r="KQ358" s="5">
        <v>2.9321470071355001E-2</v>
      </c>
      <c r="KR358" s="5">
        <v>0.34782913940228399</v>
      </c>
      <c r="KS358" s="5">
        <v>-0.31058253424143301</v>
      </c>
      <c r="KT358" s="5">
        <v>0.10506531256092</v>
      </c>
      <c r="KU358" s="5">
        <v>-2.2879882972040601E-2</v>
      </c>
      <c r="KV358" s="5">
        <v>0.20176404746498899</v>
      </c>
      <c r="KW358" s="5">
        <v>-0.17131762886771401</v>
      </c>
      <c r="KX358" s="5">
        <v>0.142261169342353</v>
      </c>
      <c r="KY358" s="5">
        <v>-8.2902935838771605E-2</v>
      </c>
      <c r="KZ358" s="5">
        <v>0.39612641467427701</v>
      </c>
      <c r="LA358" s="5">
        <v>-0.36401661936940499</v>
      </c>
      <c r="LB358" s="5">
        <v>0.21615873214018799</v>
      </c>
      <c r="LC358" s="5">
        <v>-0.184929086195672</v>
      </c>
      <c r="LD358" s="5">
        <v>0.23321300190000999</v>
      </c>
      <c r="LE358" s="5">
        <v>-0.221611093562221</v>
      </c>
      <c r="LF358" s="5">
        <v>6.2204241055889398E-2</v>
      </c>
      <c r="LG358" s="5">
        <v>-5.7234835610120799E-2</v>
      </c>
      <c r="LH358" s="5">
        <v>0.317389681089426</v>
      </c>
      <c r="LI358" s="5">
        <v>-0.297432834265701</v>
      </c>
      <c r="LJ358" s="5">
        <v>5.56621063007815E-2</v>
      </c>
      <c r="LK358" s="5">
        <v>-4.6284729888917901E-2</v>
      </c>
      <c r="LL358" s="5">
        <v>0.14518700918378599</v>
      </c>
      <c r="LM358" s="5">
        <v>-0.149655033529277</v>
      </c>
      <c r="LN358" s="5">
        <v>0.212307020240455</v>
      </c>
      <c r="LO358" s="5">
        <v>-0.24229281054865201</v>
      </c>
      <c r="LP358" s="5">
        <v>0.25714184302780901</v>
      </c>
      <c r="LQ358" s="5">
        <v>-0.33541230995121901</v>
      </c>
      <c r="LR358" s="5">
        <v>0.25753429113391502</v>
      </c>
      <c r="LS358" s="5">
        <v>-0.340049150091986</v>
      </c>
      <c r="LT358" s="5">
        <v>0.20850292399460099</v>
      </c>
      <c r="LU358" s="5">
        <v>-0.27727461326823</v>
      </c>
      <c r="LV358" s="5">
        <v>0.16650095504396301</v>
      </c>
      <c r="LW358" s="5">
        <v>-0.26914434615634097</v>
      </c>
      <c r="LX358" s="5">
        <v>1.69921441255644E-2</v>
      </c>
      <c r="LY358" s="5">
        <v>8.5652514378403502E-2</v>
      </c>
      <c r="LZ358" s="5">
        <v>0.227320385658345</v>
      </c>
      <c r="MA358" s="5">
        <v>-0.205744857280557</v>
      </c>
      <c r="MB358" s="5">
        <v>0.29443407919637798</v>
      </c>
      <c r="MC358" s="5">
        <v>-0.259252231374487</v>
      </c>
      <c r="MD358" s="5">
        <v>0.164702277070781</v>
      </c>
      <c r="ME358" s="5">
        <v>-0.11028051523544299</v>
      </c>
      <c r="MF358" s="5">
        <v>-6.7409127768300797E-2</v>
      </c>
      <c r="MG358" s="5">
        <v>7.0614022080109098E-2</v>
      </c>
      <c r="MH358" s="5">
        <v>4.7751617396128002E-2</v>
      </c>
      <c r="MI358" s="5">
        <v>6.9098665809145698E-2</v>
      </c>
      <c r="MJ358" s="5">
        <v>-7.6570012912988303E-2</v>
      </c>
      <c r="MK358" s="5">
        <v>9.0053578397760806E-2</v>
      </c>
      <c r="ML358" s="5">
        <v>-7.1266938416439801E-2</v>
      </c>
      <c r="MM358" s="5">
        <v>0.12717605122279799</v>
      </c>
      <c r="MN358" s="5">
        <v>0.40761161628621201</v>
      </c>
      <c r="MO358" s="5">
        <v>-0.41071254317747202</v>
      </c>
      <c r="MP358" s="5">
        <v>6.6440679123650495E-2</v>
      </c>
      <c r="MQ358" s="5">
        <v>1.21353207067858E-3</v>
      </c>
      <c r="MR358" s="5">
        <v>-1.1869988907090099E-3</v>
      </c>
      <c r="MS358" s="5">
        <v>6.1971667671237601E-2</v>
      </c>
      <c r="MT358" s="5">
        <v>1</v>
      </c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</row>
    <row r="359" spans="1:389" x14ac:dyDescent="0.45">
      <c r="A359" s="4" t="str">
        <f ca="1">"TUV / beta2dist in "&amp;CELL("address",'damages-1990'!$K$180)</f>
        <v>TUV / beta2dist in '[BHM betas v3pd.xlsx]damages-1990'!$K$180</v>
      </c>
      <c r="B359" s="6">
        <v>0.110694641503071</v>
      </c>
      <c r="C359" s="5">
        <v>-0.11010022332594301</v>
      </c>
      <c r="D359" s="5">
        <v>-0.2665018975051</v>
      </c>
      <c r="E359" s="5">
        <v>0.37998780997996001</v>
      </c>
      <c r="F359" s="5">
        <v>7.3231752955525503E-2</v>
      </c>
      <c r="G359" s="5">
        <v>-6.3411993993653104E-2</v>
      </c>
      <c r="H359" s="5">
        <v>-0.226019714826241</v>
      </c>
      <c r="I359" s="5">
        <v>0.29844954928940798</v>
      </c>
      <c r="J359" s="5">
        <v>9.5944221276702796E-2</v>
      </c>
      <c r="K359" s="5">
        <v>-3.9631847776181797E-2</v>
      </c>
      <c r="L359" s="5">
        <v>-4.4564667124438503E-2</v>
      </c>
      <c r="M359" s="5">
        <v>2.64261205876886E-2</v>
      </c>
      <c r="N359" s="5">
        <v>-0.125723956246417</v>
      </c>
      <c r="O359" s="5">
        <v>0.20132298810267599</v>
      </c>
      <c r="P359" s="5">
        <v>-0.20691831444476499</v>
      </c>
      <c r="Q359" s="5">
        <v>0.37794629451532902</v>
      </c>
      <c r="R359" s="5">
        <v>-9.6288005593307593E-2</v>
      </c>
      <c r="S359" s="5">
        <v>0.24128095229858099</v>
      </c>
      <c r="T359" s="5">
        <v>-0.34701126941365001</v>
      </c>
      <c r="U359" s="5">
        <v>0.43792570161919903</v>
      </c>
      <c r="V359" s="5">
        <v>5.1005556517352601E-3</v>
      </c>
      <c r="W359" s="5">
        <v>6.4471578790886594E-2</v>
      </c>
      <c r="X359" s="5">
        <v>-0.25760945120822198</v>
      </c>
      <c r="Y359" s="5">
        <v>0.35554297532916901</v>
      </c>
      <c r="Z359" s="5">
        <v>-0.145036522363412</v>
      </c>
      <c r="AA359" s="5">
        <v>0.22423495159527601</v>
      </c>
      <c r="AB359" s="5">
        <v>-0.207666627915985</v>
      </c>
      <c r="AC359" s="5">
        <v>0.29589774269821001</v>
      </c>
      <c r="AD359" s="5">
        <v>-0.15909558462553999</v>
      </c>
      <c r="AE359" s="5">
        <v>0.23913732784224201</v>
      </c>
      <c r="AF359" s="5">
        <v>-0.21972257419214999</v>
      </c>
      <c r="AG359" s="5">
        <v>0.35329588938600898</v>
      </c>
      <c r="AH359" s="5">
        <v>1.12222404917891E-2</v>
      </c>
      <c r="AI359" s="5">
        <v>4.00624750396344E-2</v>
      </c>
      <c r="AJ359" s="5">
        <v>8.9868364197172895E-2</v>
      </c>
      <c r="AK359" s="5">
        <v>-1.50408986067752E-2</v>
      </c>
      <c r="AL359" s="5">
        <v>0.155634880674902</v>
      </c>
      <c r="AM359" s="5">
        <v>-0.17404493345852501</v>
      </c>
      <c r="AN359" s="5">
        <v>-0.17847181978270901</v>
      </c>
      <c r="AO359" s="5">
        <v>0.27900680988058701</v>
      </c>
      <c r="AP359" s="5">
        <v>-0.26555593025131002</v>
      </c>
      <c r="AQ359" s="5">
        <v>0.34003927732768902</v>
      </c>
      <c r="AR359" s="5">
        <v>-5.9145753953805898E-2</v>
      </c>
      <c r="AS359" s="5">
        <v>0.14534878785484001</v>
      </c>
      <c r="AT359" s="5">
        <v>0.230195369590149</v>
      </c>
      <c r="AU359" s="5">
        <v>-0.309376354739273</v>
      </c>
      <c r="AV359" s="5">
        <v>-9.5816872214407503E-2</v>
      </c>
      <c r="AW359" s="5">
        <v>0.28481426510381802</v>
      </c>
      <c r="AX359" s="5">
        <v>-0.17485060216241199</v>
      </c>
      <c r="AY359" s="5">
        <v>0.38038017601063401</v>
      </c>
      <c r="AZ359" s="5">
        <v>-0.32187313993607197</v>
      </c>
      <c r="BA359" s="5">
        <v>0.45805661984050799</v>
      </c>
      <c r="BB359" s="5">
        <v>-5.6177919647944302E-2</v>
      </c>
      <c r="BC359" s="5">
        <v>0.19318375561480899</v>
      </c>
      <c r="BD359" s="5">
        <v>2.28753475291123E-2</v>
      </c>
      <c r="BE359" s="5">
        <v>3.1669794612867201E-3</v>
      </c>
      <c r="BF359" s="5">
        <v>-0.30452680327702403</v>
      </c>
      <c r="BG359" s="5">
        <v>0.42676172447947103</v>
      </c>
      <c r="BH359" s="5">
        <v>-0.207922517967908</v>
      </c>
      <c r="BI359" s="5">
        <v>0.35423315550081902</v>
      </c>
      <c r="BJ359" s="5">
        <v>-0.18801664820641201</v>
      </c>
      <c r="BK359" s="5">
        <v>0.162263941342212</v>
      </c>
      <c r="BL359" s="5">
        <v>-0.37108114273993897</v>
      </c>
      <c r="BM359" s="5">
        <v>0.47455496642077799</v>
      </c>
      <c r="BN359" s="5">
        <v>5.7743574999014502E-2</v>
      </c>
      <c r="BO359" s="5">
        <v>-7.08381726097735E-2</v>
      </c>
      <c r="BP359" s="5">
        <v>5.3050336604952002E-2</v>
      </c>
      <c r="BQ359" s="5">
        <v>-0.120329664736452</v>
      </c>
      <c r="BR359" s="5">
        <v>-0.203904752529594</v>
      </c>
      <c r="BS359" s="5">
        <v>0.29396479553395899</v>
      </c>
      <c r="BT359" s="5">
        <v>-0.15808980454360699</v>
      </c>
      <c r="BU359" s="5">
        <v>0.30773421015554397</v>
      </c>
      <c r="BV359" s="5">
        <v>-0.15617385049726401</v>
      </c>
      <c r="BW359" s="5">
        <v>0.27875240448919703</v>
      </c>
      <c r="BX359" s="5">
        <v>-0.17939589087510599</v>
      </c>
      <c r="BY359" s="5">
        <v>0.321208328209173</v>
      </c>
      <c r="BZ359" s="5">
        <v>-0.16744161785469</v>
      </c>
      <c r="CA359" s="5">
        <v>0.29397847128619298</v>
      </c>
      <c r="CB359" s="5">
        <v>-0.17734250475274899</v>
      </c>
      <c r="CC359" s="5">
        <v>0.33287699606297999</v>
      </c>
      <c r="CD359" s="5">
        <v>0.14366332595198</v>
      </c>
      <c r="CE359" s="5">
        <v>-6.5277013457209002E-2</v>
      </c>
      <c r="CF359" s="5">
        <v>-0.217857054648704</v>
      </c>
      <c r="CG359" s="5">
        <v>0.29755981797964198</v>
      </c>
      <c r="CH359" s="5">
        <v>0.11525758528497</v>
      </c>
      <c r="CI359" s="5">
        <v>-0.106946858750878</v>
      </c>
      <c r="CJ359" s="5">
        <v>0.25241547552893101</v>
      </c>
      <c r="CK359" s="5">
        <v>-0.31009784042215599</v>
      </c>
      <c r="CL359" s="5">
        <v>-0.28179894522479298</v>
      </c>
      <c r="CM359" s="5">
        <v>0.37361275170142599</v>
      </c>
      <c r="CN359" s="5">
        <v>-0.21673149260213301</v>
      </c>
      <c r="CO359" s="5">
        <v>0.30922949917892001</v>
      </c>
      <c r="CP359" s="5">
        <v>-0.24847143319222501</v>
      </c>
      <c r="CQ359" s="5">
        <v>0.31105664397670801</v>
      </c>
      <c r="CR359" s="5">
        <v>-0.27261861826912198</v>
      </c>
      <c r="CS359" s="5">
        <v>0.441521263039724</v>
      </c>
      <c r="CT359" s="5">
        <v>-0.22705637210475699</v>
      </c>
      <c r="CU359" s="5">
        <v>0.30755419855778099</v>
      </c>
      <c r="CV359" s="5">
        <v>-0.26037962760470801</v>
      </c>
      <c r="CW359" s="5">
        <v>0.44643480664853502</v>
      </c>
      <c r="CX359" s="5">
        <v>-1.0939918864060601E-2</v>
      </c>
      <c r="CY359" s="5">
        <v>7.8305358500737901E-2</v>
      </c>
      <c r="CZ359" s="5">
        <v>-0.19176728316568001</v>
      </c>
      <c r="DA359" s="5">
        <v>0.31657943336577699</v>
      </c>
      <c r="DB359" s="5">
        <v>5.6708857582995403E-2</v>
      </c>
      <c r="DC359" s="5">
        <v>-3.7385232618814702E-3</v>
      </c>
      <c r="DD359" s="5">
        <v>-0.26296520559144398</v>
      </c>
      <c r="DE359" s="5">
        <v>0.35345799768783198</v>
      </c>
      <c r="DF359" s="5">
        <v>0.15911139532423199</v>
      </c>
      <c r="DG359" s="5">
        <v>-0.116613987568531</v>
      </c>
      <c r="DH359" s="5">
        <v>9.1023623933801701E-2</v>
      </c>
      <c r="DI359" s="5">
        <v>-7.5616477064355897E-2</v>
      </c>
      <c r="DJ359" s="5">
        <v>-0.22802781006259801</v>
      </c>
      <c r="DK359" s="5">
        <v>0.29435660222475002</v>
      </c>
      <c r="DL359" s="5">
        <v>-0.165230786615189</v>
      </c>
      <c r="DM359" s="5">
        <v>0.26531907286490702</v>
      </c>
      <c r="DN359" s="5">
        <v>-0.201209540027352</v>
      </c>
      <c r="DO359" s="5">
        <v>0.27387238168213002</v>
      </c>
      <c r="DP359" s="5">
        <v>0.13984789882624399</v>
      </c>
      <c r="DQ359" s="5">
        <v>-0.114303050856007</v>
      </c>
      <c r="DR359" s="5">
        <v>-7.0735554282706406E-2</v>
      </c>
      <c r="DS359" s="5">
        <v>0.14075996302545701</v>
      </c>
      <c r="DT359" s="5">
        <v>-0.28287885551345199</v>
      </c>
      <c r="DU359" s="5">
        <v>0.33255798831063299</v>
      </c>
      <c r="DV359" s="5">
        <v>-0.16179190954445699</v>
      </c>
      <c r="DW359" s="5">
        <v>0.27085910780345601</v>
      </c>
      <c r="DX359" s="5">
        <v>-0.101752958662545</v>
      </c>
      <c r="DY359" s="5">
        <v>0.147769054028624</v>
      </c>
      <c r="DZ359" s="5">
        <v>-0.117047262515608</v>
      </c>
      <c r="EA359" s="5">
        <v>0.21732718126782999</v>
      </c>
      <c r="EB359" s="5">
        <v>-0.17422217136154</v>
      </c>
      <c r="EC359" s="5">
        <v>0.27259772382870401</v>
      </c>
      <c r="ED359" s="5">
        <v>-0.22151044383562099</v>
      </c>
      <c r="EE359" s="5">
        <v>0.33315606254157298</v>
      </c>
      <c r="EF359" s="5">
        <v>-0.27266659805661703</v>
      </c>
      <c r="EG359" s="5">
        <v>0.42893857274979602</v>
      </c>
      <c r="EH359" s="5">
        <v>-5.5553420020327898E-2</v>
      </c>
      <c r="EI359" s="5">
        <v>0.16084261817572501</v>
      </c>
      <c r="EJ359" s="5">
        <v>-7.1563935474938195E-2</v>
      </c>
      <c r="EK359" s="5">
        <v>0.20527631937457799</v>
      </c>
      <c r="EL359" s="5">
        <v>-0.11991888619695799</v>
      </c>
      <c r="EM359" s="5">
        <v>0.225615921292004</v>
      </c>
      <c r="EN359" s="5">
        <v>0.30268823276215701</v>
      </c>
      <c r="EO359" s="5">
        <v>-0.353978425215287</v>
      </c>
      <c r="EP359" s="5">
        <v>-0.40383039351191402</v>
      </c>
      <c r="EQ359" s="5">
        <v>0.55152824828383995</v>
      </c>
      <c r="ER359" s="5">
        <v>-9.9862910694567403E-2</v>
      </c>
      <c r="ES359" s="5">
        <v>0.234427616127237</v>
      </c>
      <c r="ET359" s="5">
        <v>-0.17605752188988899</v>
      </c>
      <c r="EU359" s="5">
        <v>0.36325971395663997</v>
      </c>
      <c r="EV359" s="5">
        <v>-0.15837217201089701</v>
      </c>
      <c r="EW359" s="5">
        <v>0.31732146279664297</v>
      </c>
      <c r="EX359" s="5">
        <v>-0.217580399578545</v>
      </c>
      <c r="EY359" s="5">
        <v>0.46039784227707697</v>
      </c>
      <c r="EZ359" s="5">
        <v>-8.1681629264168304E-2</v>
      </c>
      <c r="FA359" s="5">
        <v>0.18385829228030401</v>
      </c>
      <c r="FB359" s="5">
        <v>-1.36157064832222E-2</v>
      </c>
      <c r="FC359" s="5">
        <v>6.9571937050654994E-2</v>
      </c>
      <c r="FD359" s="5">
        <v>-0.11607700557171401</v>
      </c>
      <c r="FE359" s="5">
        <v>0.273740845111135</v>
      </c>
      <c r="FF359" s="5">
        <v>-7.73478196740673E-2</v>
      </c>
      <c r="FG359" s="5">
        <v>0.15135976235250201</v>
      </c>
      <c r="FH359" s="5">
        <v>-3.2033616469687901E-2</v>
      </c>
      <c r="FI359" s="5">
        <v>0.12421152197007</v>
      </c>
      <c r="FJ359" s="5">
        <v>-0.103708196625122</v>
      </c>
      <c r="FK359" s="5">
        <v>0.18397952066007001</v>
      </c>
      <c r="FL359" s="5">
        <v>1.8669245055286499E-2</v>
      </c>
      <c r="FM359" s="5">
        <v>-1.7253842911272899E-2</v>
      </c>
      <c r="FN359" s="5">
        <v>2.4979691978499301E-2</v>
      </c>
      <c r="FO359" s="5">
        <v>-1.2562810531150499E-2</v>
      </c>
      <c r="FP359" s="5">
        <v>1.1633504746502E-2</v>
      </c>
      <c r="FQ359" s="5">
        <v>7.38066664063022E-3</v>
      </c>
      <c r="FR359" s="5">
        <v>0.28370744350565003</v>
      </c>
      <c r="FS359" s="5">
        <v>-0.31189792004507599</v>
      </c>
      <c r="FT359" s="5">
        <v>6.0925421292389703E-2</v>
      </c>
      <c r="FU359" s="5">
        <v>-2.7429857477192201E-2</v>
      </c>
      <c r="FV359" s="5">
        <v>0.111480751398357</v>
      </c>
      <c r="FW359" s="5">
        <v>-0.129839237135846</v>
      </c>
      <c r="FX359" s="5">
        <v>1.7564360517292901E-2</v>
      </c>
      <c r="FY359" s="5">
        <v>0.10203754803281299</v>
      </c>
      <c r="FZ359" s="5">
        <v>3.7272679182574597E-2</v>
      </c>
      <c r="GA359" s="5">
        <v>1.6616281860978001E-2</v>
      </c>
      <c r="GB359" s="5">
        <v>-6.1947025358929902E-2</v>
      </c>
      <c r="GC359" s="5">
        <v>0.13264727047538499</v>
      </c>
      <c r="GD359" s="5">
        <v>-0.19535253538775699</v>
      </c>
      <c r="GE359" s="5">
        <v>0.236049944034705</v>
      </c>
      <c r="GF359" s="5">
        <v>5.2111345946195702E-2</v>
      </c>
      <c r="GG359" s="5">
        <v>8.5392547824731102E-2</v>
      </c>
      <c r="GH359" s="5">
        <v>8.8756263081643E-2</v>
      </c>
      <c r="GI359" s="5">
        <v>-0.13290779058318999</v>
      </c>
      <c r="GJ359" s="5">
        <v>2.2865376997462499E-4</v>
      </c>
      <c r="GK359" s="5">
        <v>5.2133591133407799E-2</v>
      </c>
      <c r="GL359" s="5">
        <v>-0.35090199558091101</v>
      </c>
      <c r="GM359" s="5">
        <v>0.50016572552794702</v>
      </c>
      <c r="GN359" s="5">
        <v>-1.93407017575178E-2</v>
      </c>
      <c r="GO359" s="5">
        <v>8.7527544805391294E-2</v>
      </c>
      <c r="GP359" s="5">
        <v>-6.1323871589796797E-2</v>
      </c>
      <c r="GQ359" s="5">
        <v>0.141502283719394</v>
      </c>
      <c r="GR359" s="5">
        <v>-0.121261509907396</v>
      </c>
      <c r="GS359" s="5">
        <v>0.249375750917851</v>
      </c>
      <c r="GT359" s="5">
        <v>9.1293213730891207E-2</v>
      </c>
      <c r="GU359" s="5">
        <v>-9.2506530111958293E-2</v>
      </c>
      <c r="GV359" s="5">
        <v>-0.179149084206014</v>
      </c>
      <c r="GW359" s="5">
        <v>0.32531168935704502</v>
      </c>
      <c r="GX359" s="5">
        <v>-2.4944977459148799E-2</v>
      </c>
      <c r="GY359" s="5">
        <v>8.9087800394062402E-2</v>
      </c>
      <c r="GZ359" s="5">
        <v>-0.39574469198031298</v>
      </c>
      <c r="HA359" s="5">
        <v>0.49778181984464398</v>
      </c>
      <c r="HB359" s="5">
        <v>-1.70778277635396E-2</v>
      </c>
      <c r="HC359" s="5">
        <v>0.20306788590376201</v>
      </c>
      <c r="HD359" s="5">
        <v>-9.4103158498653805E-2</v>
      </c>
      <c r="HE359" s="5">
        <v>0.19792651349863699</v>
      </c>
      <c r="HF359" s="5">
        <v>-0.26632282166632398</v>
      </c>
      <c r="HG359" s="5">
        <v>0.33924533317903599</v>
      </c>
      <c r="HH359" s="5">
        <v>-0.16980165440279199</v>
      </c>
      <c r="HI359" s="5">
        <v>0.25238906019324497</v>
      </c>
      <c r="HJ359" s="5">
        <v>-0.25219326038796003</v>
      </c>
      <c r="HK359" s="5">
        <v>0.31695711976677199</v>
      </c>
      <c r="HL359" s="5">
        <v>0.180703316763729</v>
      </c>
      <c r="HM359" s="5">
        <v>-0.12973776591345801</v>
      </c>
      <c r="HN359" s="5">
        <v>-7.5056391263677802E-2</v>
      </c>
      <c r="HO359" s="5">
        <v>0.17393168246516999</v>
      </c>
      <c r="HP359" s="5">
        <v>8.7723526795461707E-2</v>
      </c>
      <c r="HQ359" s="5">
        <v>2.78373612519833E-2</v>
      </c>
      <c r="HR359" s="5">
        <v>-0.104238624391203</v>
      </c>
      <c r="HS359" s="5">
        <v>0.27187227794251601</v>
      </c>
      <c r="HT359" s="5">
        <v>-4.8134107780540301E-2</v>
      </c>
      <c r="HU359" s="5">
        <v>0.10768385813567299</v>
      </c>
      <c r="HV359" s="5">
        <v>-0.127834732201944</v>
      </c>
      <c r="HW359" s="5">
        <v>0.199525588362574</v>
      </c>
      <c r="HX359" s="5">
        <v>-0.15089025592997601</v>
      </c>
      <c r="HY359" s="5">
        <v>0.283862318569153</v>
      </c>
      <c r="HZ359" s="5">
        <v>-0.200836794888161</v>
      </c>
      <c r="IA359" s="5">
        <v>0.309450753693504</v>
      </c>
      <c r="IB359" s="5">
        <v>4.0796067121490597E-3</v>
      </c>
      <c r="IC359" s="5">
        <v>-9.7074907680239006E-3</v>
      </c>
      <c r="ID359" s="5">
        <v>-6.9683000464556596E-2</v>
      </c>
      <c r="IE359" s="5">
        <v>0.222830129826249</v>
      </c>
      <c r="IF359" s="5">
        <v>2.53530074390893E-2</v>
      </c>
      <c r="IG359" s="5">
        <v>2.32542183498614E-2</v>
      </c>
      <c r="IH359" s="5">
        <v>-0.25079565419703898</v>
      </c>
      <c r="II359" s="5">
        <v>0.418443791593342</v>
      </c>
      <c r="IJ359" s="5">
        <v>2.9101978793048901E-2</v>
      </c>
      <c r="IK359" s="5">
        <v>-2.28095363798047E-2</v>
      </c>
      <c r="IL359" s="5">
        <v>7.3467385688086598E-2</v>
      </c>
      <c r="IM359" s="5">
        <v>1.2958702233532401E-2</v>
      </c>
      <c r="IN359" s="5">
        <v>-7.4043920479042902E-2</v>
      </c>
      <c r="IO359" s="5">
        <v>0.17970324793224399</v>
      </c>
      <c r="IP359" s="5">
        <v>-0.36356996116999701</v>
      </c>
      <c r="IQ359" s="5">
        <v>0.513420601504469</v>
      </c>
      <c r="IR359" s="5">
        <v>0.28865943785881099</v>
      </c>
      <c r="IS359" s="5">
        <v>-0.241012438177438</v>
      </c>
      <c r="IT359" s="5">
        <v>-0.110951852858897</v>
      </c>
      <c r="IU359" s="5">
        <v>0.19487705183048301</v>
      </c>
      <c r="IV359" s="5">
        <v>-0.138629088843404</v>
      </c>
      <c r="IW359" s="5">
        <v>0.218891136445833</v>
      </c>
      <c r="IX359" s="5">
        <v>-0.160649108314253</v>
      </c>
      <c r="IY359" s="5">
        <v>0.26688584934523801</v>
      </c>
      <c r="IZ359" s="5">
        <v>-0.17377797105916501</v>
      </c>
      <c r="JA359" s="5">
        <v>0.24931054913980899</v>
      </c>
      <c r="JB359" s="5">
        <v>-0.24383042380850201</v>
      </c>
      <c r="JC359" s="5">
        <v>0.33775469008672299</v>
      </c>
      <c r="JD359" s="5">
        <v>4.53487875147233E-2</v>
      </c>
      <c r="JE359" s="5">
        <v>8.4809084181381098E-3</v>
      </c>
      <c r="JF359" s="5">
        <v>-0.61918152485799705</v>
      </c>
      <c r="JG359" s="5">
        <v>0.70098085222851303</v>
      </c>
      <c r="JH359" s="5">
        <v>-4.8318066772470497E-2</v>
      </c>
      <c r="JI359" s="5">
        <v>8.1157338541386001E-2</v>
      </c>
      <c r="JJ359" s="5">
        <v>-0.13407583804322901</v>
      </c>
      <c r="JK359" s="5">
        <v>0.21705919208632701</v>
      </c>
      <c r="JL359" s="5">
        <v>0.140316940512931</v>
      </c>
      <c r="JM359" s="5">
        <v>-6.5736181209407496E-2</v>
      </c>
      <c r="JN359" s="5">
        <v>-0.14302190517487501</v>
      </c>
      <c r="JO359" s="5">
        <v>0.29040295662849902</v>
      </c>
      <c r="JP359" s="5">
        <v>-6.89164854541372E-2</v>
      </c>
      <c r="JQ359" s="5">
        <v>0.21555449108579899</v>
      </c>
      <c r="JR359" s="5">
        <v>-1.50815439932344E-2</v>
      </c>
      <c r="JS359" s="5">
        <v>0.16852797321982499</v>
      </c>
      <c r="JT359" s="5">
        <v>-6.5652886156607596E-2</v>
      </c>
      <c r="JU359" s="5">
        <v>9.9868492319326999E-2</v>
      </c>
      <c r="JV359" s="5">
        <v>-3.0048397999025499E-2</v>
      </c>
      <c r="JW359" s="5">
        <v>7.6461538971089496E-2</v>
      </c>
      <c r="JX359" s="5">
        <v>-0.27543214720896703</v>
      </c>
      <c r="JY359" s="5">
        <v>0.362158715508971</v>
      </c>
      <c r="JZ359" s="5">
        <v>-0.27741129053720398</v>
      </c>
      <c r="KA359" s="5">
        <v>0.45565165709555899</v>
      </c>
      <c r="KB359" s="5">
        <v>-0.13876068569868499</v>
      </c>
      <c r="KC359" s="5">
        <v>0.17930854131575799</v>
      </c>
      <c r="KD359" s="5">
        <v>0.22571882637284399</v>
      </c>
      <c r="KE359" s="5">
        <v>-0.26802162794442502</v>
      </c>
      <c r="KF359" s="5">
        <v>-8.5932492990797596E-2</v>
      </c>
      <c r="KG359" s="5">
        <v>4.01298539276215E-2</v>
      </c>
      <c r="KH359" s="5">
        <v>4.9650263384619503E-2</v>
      </c>
      <c r="KI359" s="5">
        <v>-1.2931241191697199E-2</v>
      </c>
      <c r="KJ359" s="5">
        <v>0.117027993892364</v>
      </c>
      <c r="KK359" s="5">
        <v>-4.3974686742851203E-2</v>
      </c>
      <c r="KL359" s="5">
        <v>4.5934951904689401E-2</v>
      </c>
      <c r="KM359" s="5">
        <v>-1.1159623891885699E-2</v>
      </c>
      <c r="KN359" s="5">
        <v>-0.15288819887716401</v>
      </c>
      <c r="KO359" s="5">
        <v>0.26451298373482002</v>
      </c>
      <c r="KP359" s="5">
        <v>3.4221968028221403E-2</v>
      </c>
      <c r="KQ359" s="5">
        <v>-2.3493705579757902E-2</v>
      </c>
      <c r="KR359" s="5">
        <v>-0.24261753142049799</v>
      </c>
      <c r="KS359" s="5">
        <v>0.35267662578247</v>
      </c>
      <c r="KT359" s="5">
        <v>-1.53077933645277E-2</v>
      </c>
      <c r="KU359" s="5">
        <v>8.9304019041322E-2</v>
      </c>
      <c r="KV359" s="5">
        <v>-0.14925812063294</v>
      </c>
      <c r="KW359" s="5">
        <v>0.269352842671295</v>
      </c>
      <c r="KX359" s="5">
        <v>-6.9822451728244195E-2</v>
      </c>
      <c r="KY359" s="5">
        <v>0.16339023587943399</v>
      </c>
      <c r="KZ359" s="5">
        <v>-0.30922705400356199</v>
      </c>
      <c r="LA359" s="5">
        <v>0.38773750707694299</v>
      </c>
      <c r="LB359" s="5">
        <v>-0.13628513909735801</v>
      </c>
      <c r="LC359" s="5">
        <v>0.25475417194883898</v>
      </c>
      <c r="LD359" s="5">
        <v>-0.12927995463806199</v>
      </c>
      <c r="LE359" s="5">
        <v>0.243982251703356</v>
      </c>
      <c r="LF359" s="5">
        <v>-4.36103681932416E-2</v>
      </c>
      <c r="LG359" s="5">
        <v>0.11883618493185399</v>
      </c>
      <c r="LH359" s="5">
        <v>-0.227436902162581</v>
      </c>
      <c r="LI359" s="5">
        <v>0.35962042025930102</v>
      </c>
      <c r="LJ359" s="5">
        <v>-4.5669904980464401E-2</v>
      </c>
      <c r="LK359" s="5">
        <v>0.108252366934548</v>
      </c>
      <c r="LL359" s="5">
        <v>-6.8847281535930296E-2</v>
      </c>
      <c r="LM359" s="5">
        <v>0.20611652646856099</v>
      </c>
      <c r="LN359" s="5">
        <v>-0.115073340651256</v>
      </c>
      <c r="LO359" s="5">
        <v>0.26015114036544401</v>
      </c>
      <c r="LP359" s="5">
        <v>-0.161239152605162</v>
      </c>
      <c r="LQ359" s="5">
        <v>0.35433477747209402</v>
      </c>
      <c r="LR359" s="5">
        <v>-0.28738437959596902</v>
      </c>
      <c r="LS359" s="5">
        <v>0.380033730721481</v>
      </c>
      <c r="LT359" s="5">
        <v>-0.23546211582454299</v>
      </c>
      <c r="LU359" s="5">
        <v>0.33723319501009602</v>
      </c>
      <c r="LV359" s="5">
        <v>-0.237422900380865</v>
      </c>
      <c r="LW359" s="5">
        <v>0.31239279481679399</v>
      </c>
      <c r="LX359" s="5">
        <v>6.8700767077880198E-2</v>
      </c>
      <c r="LY359" s="5">
        <v>-4.4887053856668302E-2</v>
      </c>
      <c r="LZ359" s="5">
        <v>-0.160642615590007</v>
      </c>
      <c r="MA359" s="5">
        <v>0.28686410348274299</v>
      </c>
      <c r="MB359" s="5">
        <v>-0.20103763225122601</v>
      </c>
      <c r="MC359" s="5">
        <v>0.30568933826993899</v>
      </c>
      <c r="MD359" s="5">
        <v>-5.2114293925286402E-2</v>
      </c>
      <c r="ME359" s="5">
        <v>0.113111473261079</v>
      </c>
      <c r="MF359" s="5">
        <v>3.83438916204017E-2</v>
      </c>
      <c r="MG359" s="5">
        <v>-7.4235699879804606E-2</v>
      </c>
      <c r="MH359" s="5">
        <v>1.5530584355081501E-2</v>
      </c>
      <c r="MI359" s="5">
        <v>5.6620263414875298E-3</v>
      </c>
      <c r="MJ359" s="5">
        <v>0.15053380217115001</v>
      </c>
      <c r="MK359" s="5">
        <v>-0.10795175363189401</v>
      </c>
      <c r="ML359" s="5">
        <v>0.19407043777303301</v>
      </c>
      <c r="MM359" s="5">
        <v>-0.155972407274899</v>
      </c>
      <c r="MN359" s="5">
        <v>-0.39165170953586198</v>
      </c>
      <c r="MO359" s="5">
        <v>0.47960197924731701</v>
      </c>
      <c r="MP359" s="5">
        <v>3.2392010765140297E-2</v>
      </c>
      <c r="MQ359" s="5">
        <v>2.4415672430358599E-2</v>
      </c>
      <c r="MR359" s="5">
        <v>3.6311811388415202E-2</v>
      </c>
      <c r="MS359" s="5">
        <v>-1.0155441938937E-2</v>
      </c>
      <c r="MT359" s="5">
        <v>-0.87476024716217005</v>
      </c>
      <c r="MU359" s="5">
        <v>1</v>
      </c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</row>
    <row r="360" spans="1:389" x14ac:dyDescent="0.45">
      <c r="A360" s="4" t="str">
        <f ca="1">"TWN / beta1dist in "&amp;CELL("address",'damages-1990'!$J$181)</f>
        <v>TWN / beta1dist in '[BHM betas v3pd.xlsx]damages-1990'!$J$181</v>
      </c>
      <c r="B360" s="6">
        <v>0.243418358038375</v>
      </c>
      <c r="C360" s="5">
        <v>0.30402607402000498</v>
      </c>
      <c r="D360" s="5">
        <v>0.47860421138521603</v>
      </c>
      <c r="E360" s="5">
        <v>-5.8387931950513498E-2</v>
      </c>
      <c r="F360" s="5">
        <v>0.26725423604680498</v>
      </c>
      <c r="G360" s="5">
        <v>0.10674410489991799</v>
      </c>
      <c r="H360" s="5">
        <v>-6.7960520013721007E-2</v>
      </c>
      <c r="I360" s="5">
        <v>6.3025438107060003E-2</v>
      </c>
      <c r="J360" s="5">
        <v>0.32435706858952001</v>
      </c>
      <c r="K360" s="5">
        <v>9.8039163935975698E-2</v>
      </c>
      <c r="L360" s="5">
        <v>0.49355570780748098</v>
      </c>
      <c r="M360" s="5">
        <v>-4.3591572025304802E-2</v>
      </c>
      <c r="N360" s="5">
        <v>0.10736446076662901</v>
      </c>
      <c r="O360" s="5">
        <v>-2.16857299602875E-2</v>
      </c>
      <c r="P360" s="5">
        <v>0.13848798124380901</v>
      </c>
      <c r="Q360" s="5">
        <v>3.67061734622387E-2</v>
      </c>
      <c r="R360" s="5">
        <v>0.50601236128206095</v>
      </c>
      <c r="S360" s="5">
        <v>-8.2717665975019394E-2</v>
      </c>
      <c r="T360" s="5">
        <v>-1.30723166693159E-2</v>
      </c>
      <c r="U360" s="5">
        <v>8.6392111847924294E-2</v>
      </c>
      <c r="V360" s="5">
        <v>0.34758488011201499</v>
      </c>
      <c r="W360" s="5">
        <v>0.12980742447615401</v>
      </c>
      <c r="X360" s="5">
        <v>0.41889851245730497</v>
      </c>
      <c r="Y360" s="5">
        <v>-3.97012748044164E-3</v>
      </c>
      <c r="Z360" s="5">
        <v>8.7978054938490993E-2</v>
      </c>
      <c r="AA360" s="5">
        <v>0.119508833450315</v>
      </c>
      <c r="AB360" s="5">
        <v>0.32921953070124099</v>
      </c>
      <c r="AC360" s="5">
        <v>-5.5940577957513601E-2</v>
      </c>
      <c r="AD360" s="5">
        <v>0.298751188112935</v>
      </c>
      <c r="AE360" s="5">
        <v>-8.0444354068100604E-3</v>
      </c>
      <c r="AF360" s="5">
        <v>0.57726751769475504</v>
      </c>
      <c r="AG360" s="5">
        <v>-0.26765594727726599</v>
      </c>
      <c r="AH360" s="5">
        <v>0.19152205656687599</v>
      </c>
      <c r="AI360" s="5">
        <v>0.12929025038132</v>
      </c>
      <c r="AJ360" s="5">
        <v>0.36616965835225002</v>
      </c>
      <c r="AK360" s="5">
        <v>4.7680728818492203E-2</v>
      </c>
      <c r="AL360" s="5">
        <v>0.408474920917486</v>
      </c>
      <c r="AM360" s="5">
        <v>-0.20618677790154999</v>
      </c>
      <c r="AN360" s="5">
        <v>0.10354758591350301</v>
      </c>
      <c r="AO360" s="5">
        <v>0.115679204996276</v>
      </c>
      <c r="AP360" s="5">
        <v>-3.9306134845691197E-2</v>
      </c>
      <c r="AQ360" s="5">
        <v>0.12987890268675201</v>
      </c>
      <c r="AR360" s="5">
        <v>0.53714459871334796</v>
      </c>
      <c r="AS360" s="5">
        <v>-0.26635691669800399</v>
      </c>
      <c r="AT360" s="5">
        <v>0.334132441635896</v>
      </c>
      <c r="AU360" s="5">
        <v>-8.4887849249612596E-2</v>
      </c>
      <c r="AV360" s="5">
        <v>0.56698657015220799</v>
      </c>
      <c r="AW360" s="5">
        <v>-0.21294066849229301</v>
      </c>
      <c r="AX360" s="5">
        <v>0.56829032605923802</v>
      </c>
      <c r="AY360" s="5">
        <v>-0.24884683583127601</v>
      </c>
      <c r="AZ360" s="5">
        <v>0.26173160710862597</v>
      </c>
      <c r="BA360" s="5">
        <v>-9.5888403714557202E-2</v>
      </c>
      <c r="BB360" s="5">
        <v>0.40751246941702401</v>
      </c>
      <c r="BC360" s="5">
        <v>-4.6782487058224303E-3</v>
      </c>
      <c r="BD360" s="5">
        <v>0.20812725414312999</v>
      </c>
      <c r="BE360" s="5">
        <v>0.286883942159533</v>
      </c>
      <c r="BF360" s="5">
        <v>0.43659843046341801</v>
      </c>
      <c r="BG360" s="5">
        <v>-6.17372461749695E-2</v>
      </c>
      <c r="BH360" s="5">
        <v>0.477711834899821</v>
      </c>
      <c r="BI360" s="5">
        <v>-0.13162730691448901</v>
      </c>
      <c r="BJ360" s="5">
        <v>-0.217710739300747</v>
      </c>
      <c r="BK360" s="5">
        <v>0.117089364649752</v>
      </c>
      <c r="BL360" s="5">
        <v>5.9405449293665896E-3</v>
      </c>
      <c r="BM360" s="5">
        <v>1.8628538084547001E-2</v>
      </c>
      <c r="BN360" s="5">
        <v>9.5218332801409206E-2</v>
      </c>
      <c r="BO360" s="5">
        <v>8.6711356187478897E-2</v>
      </c>
      <c r="BP360" s="5">
        <v>-8.3231422672958993E-2</v>
      </c>
      <c r="BQ360" s="5">
        <v>0.33312109697192999</v>
      </c>
      <c r="BR360" s="5">
        <v>0.30505941125146802</v>
      </c>
      <c r="BS360" s="5">
        <v>-3.4430800495896599E-2</v>
      </c>
      <c r="BT360" s="5">
        <v>0.53408784365830597</v>
      </c>
      <c r="BU360" s="5">
        <v>-0.17117352814518699</v>
      </c>
      <c r="BV360" s="5">
        <v>0.45922399004909498</v>
      </c>
      <c r="BW360" s="5">
        <v>-9.2493675446287102E-2</v>
      </c>
      <c r="BX360" s="5">
        <v>0.37508115329390901</v>
      </c>
      <c r="BY360" s="5">
        <v>-8.4652403143640198E-2</v>
      </c>
      <c r="BZ360" s="5">
        <v>0.43575350620513398</v>
      </c>
      <c r="CA360" s="5">
        <v>-0.111468024571816</v>
      </c>
      <c r="CB360" s="5">
        <v>0.50373512424364897</v>
      </c>
      <c r="CC360" s="5">
        <v>-0.30151858602708598</v>
      </c>
      <c r="CD360" s="5">
        <v>0.172035163953209</v>
      </c>
      <c r="CE360" s="5">
        <v>9.7646370224927795E-2</v>
      </c>
      <c r="CF360" s="5">
        <v>0.36383379096308299</v>
      </c>
      <c r="CG360" s="5">
        <v>-0.15167422091969199</v>
      </c>
      <c r="CH360" s="5">
        <v>0.40882044382501898</v>
      </c>
      <c r="CI360" s="5">
        <v>-0.25373574678908101</v>
      </c>
      <c r="CJ360" s="5">
        <v>0.328105342187339</v>
      </c>
      <c r="CK360" s="5">
        <v>3.059501825011E-2</v>
      </c>
      <c r="CL360" s="5">
        <v>3.30876154780127E-2</v>
      </c>
      <c r="CM360" s="5">
        <v>9.7964965708732504E-2</v>
      </c>
      <c r="CN360" s="5">
        <v>4.7020577597634602E-2</v>
      </c>
      <c r="CO360" s="5">
        <v>0.121894088059917</v>
      </c>
      <c r="CP360" s="5">
        <v>0.28692242905099002</v>
      </c>
      <c r="CQ360" s="5">
        <v>-6.3502274187507396E-2</v>
      </c>
      <c r="CR360" s="5">
        <v>0.247943723982089</v>
      </c>
      <c r="CS360" s="5">
        <v>-5.4985994529364798E-2</v>
      </c>
      <c r="CT360" s="5">
        <v>-1.20566579424305E-2</v>
      </c>
      <c r="CU360" s="5">
        <v>9.8193998416993902E-2</v>
      </c>
      <c r="CV360" s="5">
        <v>0.31131576927683702</v>
      </c>
      <c r="CW360" s="5">
        <v>-0.1448189084497</v>
      </c>
      <c r="CX360" s="5">
        <v>0.48331932535674699</v>
      </c>
      <c r="CY360" s="5">
        <v>-7.6695204003140505E-2</v>
      </c>
      <c r="CZ360" s="5">
        <v>0.39789130643742399</v>
      </c>
      <c r="DA360" s="5">
        <v>-7.5349419316113497E-2</v>
      </c>
      <c r="DB360" s="5">
        <v>0.39329517502856598</v>
      </c>
      <c r="DC360" s="5">
        <v>7.2280839847273098E-2</v>
      </c>
      <c r="DD360" s="5">
        <v>0.28721110322180898</v>
      </c>
      <c r="DE360" s="5">
        <v>-1.2635585606035799E-2</v>
      </c>
      <c r="DF360" s="5">
        <v>0.34617052501698498</v>
      </c>
      <c r="DG360" s="5">
        <v>2.3555413182484899E-2</v>
      </c>
      <c r="DH360" s="5">
        <v>0.34264268376240897</v>
      </c>
      <c r="DI360" s="5">
        <v>0.113191208940041</v>
      </c>
      <c r="DJ360" s="5">
        <v>-6.5535651155598298E-2</v>
      </c>
      <c r="DK360" s="5">
        <v>0.116156202625059</v>
      </c>
      <c r="DL360" s="5">
        <v>0.34676389607098801</v>
      </c>
      <c r="DM360" s="5">
        <v>2.31509503992232E-2</v>
      </c>
      <c r="DN360" s="5">
        <v>-0.162339412609044</v>
      </c>
      <c r="DO360" s="5">
        <v>0.15078594386805999</v>
      </c>
      <c r="DP360" s="5">
        <v>0.337389214749095</v>
      </c>
      <c r="DQ360" s="5">
        <v>-1.5887819735394701E-2</v>
      </c>
      <c r="DR360" s="5">
        <v>0.19620373643577299</v>
      </c>
      <c r="DS360" s="5">
        <v>0.112395213037978</v>
      </c>
      <c r="DT360" s="5">
        <v>0.47776751054564298</v>
      </c>
      <c r="DU360" s="5">
        <v>-0.30455168842975999</v>
      </c>
      <c r="DV360" s="5">
        <v>0.213214876305962</v>
      </c>
      <c r="DW360" s="5">
        <v>5.1896919091625103E-2</v>
      </c>
      <c r="DX360" s="5">
        <v>-4.8145521692878203E-2</v>
      </c>
      <c r="DY360" s="5">
        <v>0.172786376961478</v>
      </c>
      <c r="DZ360" s="5">
        <v>0.116901350595481</v>
      </c>
      <c r="EA360" s="5">
        <v>1.2361815624247E-2</v>
      </c>
      <c r="EB360" s="5">
        <v>0.35922333524225097</v>
      </c>
      <c r="EC360" s="5">
        <v>-6.7826547785296107E-2</v>
      </c>
      <c r="ED360" s="5">
        <v>0.37940301747002397</v>
      </c>
      <c r="EE360" s="5">
        <v>-4.7469523805372997E-2</v>
      </c>
      <c r="EF360" s="5">
        <v>0.193321612439496</v>
      </c>
      <c r="EG360" s="5">
        <v>-1.33568717436316E-2</v>
      </c>
      <c r="EH360" s="5">
        <v>0.37874791799325702</v>
      </c>
      <c r="EI360" s="5">
        <v>-2.0049201714966301E-2</v>
      </c>
      <c r="EJ360" s="5">
        <v>0.37122112848922501</v>
      </c>
      <c r="EK360" s="5">
        <v>-1.49443109705921E-2</v>
      </c>
      <c r="EL360" s="5">
        <v>0.54201630590143002</v>
      </c>
      <c r="EM360" s="5">
        <v>-0.240119721388764</v>
      </c>
      <c r="EN360" s="5">
        <v>0.36430226619386502</v>
      </c>
      <c r="EO360" s="5">
        <v>7.9951048626411402E-3</v>
      </c>
      <c r="EP360" s="5">
        <v>0.32468925973395901</v>
      </c>
      <c r="EQ360" s="5">
        <v>-0.14783495825052601</v>
      </c>
      <c r="ER360" s="5">
        <v>0.55038685873986204</v>
      </c>
      <c r="ES360" s="5">
        <v>-0.24781272592620199</v>
      </c>
      <c r="ET360" s="5">
        <v>0.415366741977996</v>
      </c>
      <c r="EU360" s="5">
        <v>-0.156292877234708</v>
      </c>
      <c r="EV360" s="5">
        <v>0.525626454376529</v>
      </c>
      <c r="EW360" s="5">
        <v>-0.242625481890898</v>
      </c>
      <c r="EX360" s="5">
        <v>0.57387464204404404</v>
      </c>
      <c r="EY360" s="5">
        <v>-0.357615364122227</v>
      </c>
      <c r="EZ360" s="5">
        <v>0.51411101675847803</v>
      </c>
      <c r="FA360" s="5">
        <v>-0.18820482517182399</v>
      </c>
      <c r="FB360" s="5">
        <v>0.219082452274593</v>
      </c>
      <c r="FC360" s="5">
        <v>9.5445731127074704E-2</v>
      </c>
      <c r="FD360" s="5">
        <v>0.371470930008514</v>
      </c>
      <c r="FE360" s="5">
        <v>-0.18317281750085199</v>
      </c>
      <c r="FF360" s="5">
        <v>0.17337056061054801</v>
      </c>
      <c r="FG360" s="5">
        <v>9.7603245756222798E-2</v>
      </c>
      <c r="FH360" s="5">
        <v>0.58148186044952199</v>
      </c>
      <c r="FI360" s="5">
        <v>-0.37103089269686801</v>
      </c>
      <c r="FJ360" s="5">
        <v>0.36613185895925399</v>
      </c>
      <c r="FK360" s="5">
        <v>9.7301518214532798E-2</v>
      </c>
      <c r="FL360" s="5">
        <v>-4.2832888404722998E-2</v>
      </c>
      <c r="FM360" s="5">
        <v>0.182998381054781</v>
      </c>
      <c r="FN360" s="5">
        <v>0.38563500341269502</v>
      </c>
      <c r="FO360" s="5">
        <v>0.10427626694568599</v>
      </c>
      <c r="FP360" s="5">
        <v>0.46753860622854498</v>
      </c>
      <c r="FQ360" s="5">
        <v>-5.97666771639307E-2</v>
      </c>
      <c r="FR360" s="5">
        <v>-6.7702861566846295E-2</v>
      </c>
      <c r="FS360" s="5">
        <v>2.21722383447353E-2</v>
      </c>
      <c r="FT360" s="5">
        <v>0.48784135784903798</v>
      </c>
      <c r="FU360" s="5">
        <v>-3.5620283926424398E-2</v>
      </c>
      <c r="FV360" s="5">
        <v>0.31982828223755999</v>
      </c>
      <c r="FW360" s="5">
        <v>6.48545974515225E-2</v>
      </c>
      <c r="FX360" s="5">
        <v>0.41959761148804398</v>
      </c>
      <c r="FY360" s="5">
        <v>-0.204671622154424</v>
      </c>
      <c r="FZ360" s="5">
        <v>0.49371033339751702</v>
      </c>
      <c r="GA360" s="5">
        <v>-1.7760159101948999E-2</v>
      </c>
      <c r="GB360" s="5">
        <v>0.20854914818592701</v>
      </c>
      <c r="GC360" s="5">
        <v>0.18020475897398699</v>
      </c>
      <c r="GD360" s="5">
        <v>-3.0359502562283501E-2</v>
      </c>
      <c r="GE360" s="5">
        <v>0.120200183888014</v>
      </c>
      <c r="GF360" s="5">
        <v>0.31915959565595697</v>
      </c>
      <c r="GG360" s="5">
        <v>5.9045568357330998E-2</v>
      </c>
      <c r="GH360" s="5">
        <v>-8.9706953025865593E-2</v>
      </c>
      <c r="GI360" s="5">
        <v>3.4005658794609303E-2</v>
      </c>
      <c r="GJ360" s="5">
        <v>0.46424000733272502</v>
      </c>
      <c r="GK360" s="5">
        <v>-0.169523029395552</v>
      </c>
      <c r="GL360" s="5">
        <v>0.18611895974011899</v>
      </c>
      <c r="GM360" s="5">
        <v>-5.5104470781325498E-3</v>
      </c>
      <c r="GN360" s="5">
        <v>0.25707047008073503</v>
      </c>
      <c r="GO360" s="5">
        <v>0.152397114036012</v>
      </c>
      <c r="GP360" s="5">
        <v>0.46077483052167401</v>
      </c>
      <c r="GQ360" s="5">
        <v>-7.2472001453314394E-2</v>
      </c>
      <c r="GR360" s="5">
        <v>0.55781343011914497</v>
      </c>
      <c r="GS360" s="5">
        <v>-0.30704475764924599</v>
      </c>
      <c r="GT360" s="5">
        <v>0.44162128784410798</v>
      </c>
      <c r="GU360" s="5">
        <v>-2.8512346843673399E-2</v>
      </c>
      <c r="GV360" s="5">
        <v>0.29712497614816202</v>
      </c>
      <c r="GW360" s="5">
        <v>-5.5647140852779699E-2</v>
      </c>
      <c r="GX360" s="5">
        <v>0.431933789152597</v>
      </c>
      <c r="GY360" s="5">
        <v>-7.7955842900120795E-2</v>
      </c>
      <c r="GZ360" s="5">
        <v>-6.3810391459866796E-4</v>
      </c>
      <c r="HA360" s="5">
        <v>2.8759517902955101E-2</v>
      </c>
      <c r="HB360" s="5">
        <v>0.42763185668026299</v>
      </c>
      <c r="HC360" s="5">
        <v>-0.12360904403772</v>
      </c>
      <c r="HD360" s="5">
        <v>0.31967613251354499</v>
      </c>
      <c r="HE360" s="5">
        <v>0.14855745062683601</v>
      </c>
      <c r="HF360" s="5">
        <v>-3.9491079035424002E-2</v>
      </c>
      <c r="HG360" s="5">
        <v>0.120642210197311</v>
      </c>
      <c r="HH360" s="5">
        <v>6.80442919573504E-2</v>
      </c>
      <c r="HI360" s="5">
        <v>0.119388163753174</v>
      </c>
      <c r="HJ360" s="5">
        <v>-6.3754069641364E-2</v>
      </c>
      <c r="HK360" s="5">
        <v>0.12619360609993999</v>
      </c>
      <c r="HL360" s="5">
        <v>0.40583956657123599</v>
      </c>
      <c r="HM360" s="5">
        <v>4.1685053182604702E-2</v>
      </c>
      <c r="HN360" s="5">
        <v>0.118830806660623</v>
      </c>
      <c r="HO360" s="5">
        <v>0.141747584580242</v>
      </c>
      <c r="HP360" s="5">
        <v>0.37275929023841597</v>
      </c>
      <c r="HQ360" s="5">
        <v>5.0670965057534899E-2</v>
      </c>
      <c r="HR360" s="5">
        <v>0.62665738807276905</v>
      </c>
      <c r="HS360" s="5">
        <v>-0.30759490421632402</v>
      </c>
      <c r="HT360" s="5">
        <v>0.16689027094119599</v>
      </c>
      <c r="HU360" s="5">
        <v>0.14042675801955201</v>
      </c>
      <c r="HV360" s="5">
        <v>0.389811661229296</v>
      </c>
      <c r="HW360" s="5">
        <v>-5.6743402803047301E-2</v>
      </c>
      <c r="HX360" s="5">
        <v>0.56695111366275897</v>
      </c>
      <c r="HY360" s="5">
        <v>-0.22554626506528</v>
      </c>
      <c r="HZ360" s="5">
        <v>3.8668263459606098E-2</v>
      </c>
      <c r="IA360" s="5">
        <v>0.13500897525760899</v>
      </c>
      <c r="IB360" s="5">
        <v>-0.30791019978478401</v>
      </c>
      <c r="IC360" s="5">
        <v>0.29368700202521603</v>
      </c>
      <c r="ID360" s="5">
        <v>0.304413643180802</v>
      </c>
      <c r="IE360" s="5">
        <v>0.16677514433499499</v>
      </c>
      <c r="IF360" s="5">
        <v>0.404762882300368</v>
      </c>
      <c r="IG360" s="5">
        <v>-1.99967463842349E-2</v>
      </c>
      <c r="IH360" s="5">
        <v>0.23915616158836001</v>
      </c>
      <c r="II360" s="5">
        <v>-5.52961554929772E-2</v>
      </c>
      <c r="IJ360" s="5">
        <v>0.39396440029787699</v>
      </c>
      <c r="IK360" s="5">
        <v>-0.26596649307877401</v>
      </c>
      <c r="IL360" s="5">
        <v>0.34570706343365099</v>
      </c>
      <c r="IM360" s="5">
        <v>0.112721277109826</v>
      </c>
      <c r="IN360" s="5">
        <v>0.58631339506500002</v>
      </c>
      <c r="IO360" s="5">
        <v>-0.27016556459568503</v>
      </c>
      <c r="IP360" s="5">
        <v>0.502202386996211</v>
      </c>
      <c r="IQ360" s="5">
        <v>-6.1184696118808099E-2</v>
      </c>
      <c r="IR360" s="5">
        <v>0.34582193907032899</v>
      </c>
      <c r="IS360" s="5">
        <v>-6.7572407894193498E-2</v>
      </c>
      <c r="IT360" s="5">
        <v>0.377072330684807</v>
      </c>
      <c r="IU360" s="5">
        <v>-3.8250774076840202E-2</v>
      </c>
      <c r="IV360" s="5">
        <v>0.26086513190016303</v>
      </c>
      <c r="IW360" s="5">
        <v>3.1714214725048699E-2</v>
      </c>
      <c r="IX360" s="5">
        <v>0.44292173258891898</v>
      </c>
      <c r="IY360" s="5">
        <v>-0.16511109454166201</v>
      </c>
      <c r="IZ360" s="5">
        <v>8.5119819460236404E-2</v>
      </c>
      <c r="JA360" s="5">
        <v>9.1064720874522706E-2</v>
      </c>
      <c r="JB360" s="5">
        <v>-0.165497442652112</v>
      </c>
      <c r="JC360" s="5">
        <v>0.13775533942253301</v>
      </c>
      <c r="JD360" s="5">
        <v>0.29230898152470303</v>
      </c>
      <c r="JE360" s="5">
        <v>0.27096010767480799</v>
      </c>
      <c r="JF360" s="5">
        <v>0.41659909888618801</v>
      </c>
      <c r="JG360" s="5">
        <v>-0.29251023000635301</v>
      </c>
      <c r="JH360" s="5">
        <v>0.29983830284192198</v>
      </c>
      <c r="JI360" s="5">
        <v>-0.116081320229924</v>
      </c>
      <c r="JJ360" s="5">
        <v>0.43747897181829898</v>
      </c>
      <c r="JK360" s="5">
        <v>3.8352159458371303E-2</v>
      </c>
      <c r="JL360" s="5">
        <v>0.29185938627144697</v>
      </c>
      <c r="JM360" s="5">
        <v>0.17463177586193199</v>
      </c>
      <c r="JN360" s="5">
        <v>0.34241686882372002</v>
      </c>
      <c r="JO360" s="5">
        <v>-0.124224146367439</v>
      </c>
      <c r="JP360" s="5">
        <v>0.51801905218491795</v>
      </c>
      <c r="JQ360" s="5">
        <v>-0.112733603267066</v>
      </c>
      <c r="JR360" s="5">
        <v>0.56172941509199004</v>
      </c>
      <c r="JS360" s="5">
        <v>-0.22993796557576099</v>
      </c>
      <c r="JT360" s="5">
        <v>0.43329672713413298</v>
      </c>
      <c r="JU360" s="5">
        <v>-0.18082345748345799</v>
      </c>
      <c r="JV360" s="5">
        <v>0.52165522080135596</v>
      </c>
      <c r="JW360" s="5">
        <v>-0.14624347280094499</v>
      </c>
      <c r="JX360" s="5">
        <v>1.49229619131638E-2</v>
      </c>
      <c r="JY360" s="5">
        <v>0.120648006312485</v>
      </c>
      <c r="JZ360" s="5">
        <v>0.28380684012561003</v>
      </c>
      <c r="KA360" s="5">
        <v>-0.101512363486189</v>
      </c>
      <c r="KB360" s="5">
        <v>-0.14332035969715001</v>
      </c>
      <c r="KC360" s="5">
        <v>0.25157398468588399</v>
      </c>
      <c r="KD360" s="5">
        <v>0.32614755952930102</v>
      </c>
      <c r="KE360" s="5">
        <v>0.12243289110262499</v>
      </c>
      <c r="KF360" s="5">
        <v>0.45145893526370401</v>
      </c>
      <c r="KG360" s="5">
        <v>-0.19801220498376401</v>
      </c>
      <c r="KH360" s="5">
        <v>0.49525123917392599</v>
      </c>
      <c r="KI360" s="5">
        <v>-4.0823285700372497E-2</v>
      </c>
      <c r="KJ360" s="5">
        <v>0.35176347584197198</v>
      </c>
      <c r="KK360" s="5">
        <v>6.4362455899277193E-2</v>
      </c>
      <c r="KL360" s="5">
        <v>0.48913930486441098</v>
      </c>
      <c r="KM360" s="5">
        <v>-0.28199939754410802</v>
      </c>
      <c r="KN360" s="5">
        <v>8.5001723308260294E-2</v>
      </c>
      <c r="KO360" s="5">
        <v>0.13972349875015899</v>
      </c>
      <c r="KP360" s="5">
        <v>-0.35166973923558498</v>
      </c>
      <c r="KQ360" s="5">
        <v>0.30610434650108798</v>
      </c>
      <c r="KR360" s="5">
        <v>0.42596534978636902</v>
      </c>
      <c r="KS360" s="5">
        <v>-5.6592445140464499E-2</v>
      </c>
      <c r="KT360" s="5">
        <v>0.45632670402382802</v>
      </c>
      <c r="KU360" s="5">
        <v>-4.47037338582306E-2</v>
      </c>
      <c r="KV360" s="5">
        <v>0.33394891570479601</v>
      </c>
      <c r="KW360" s="5">
        <v>-4.3057823018248804E-3</v>
      </c>
      <c r="KX360" s="5">
        <v>0.37188833573433999</v>
      </c>
      <c r="KY360" s="5">
        <v>-1.12415680966804E-2</v>
      </c>
      <c r="KZ360" s="5">
        <v>0.42385530763712698</v>
      </c>
      <c r="LA360" s="5">
        <v>-0.192038378972019</v>
      </c>
      <c r="LB360" s="5">
        <v>0.46790283671523197</v>
      </c>
      <c r="LC360" s="5">
        <v>-0.125423791372655</v>
      </c>
      <c r="LD360" s="5">
        <v>0.49475894501495998</v>
      </c>
      <c r="LE360" s="5">
        <v>-0.213525576497828</v>
      </c>
      <c r="LF360" s="5">
        <v>0.211592809219108</v>
      </c>
      <c r="LG360" s="5">
        <v>0.117226085637159</v>
      </c>
      <c r="LH360" s="5">
        <v>0.55923277604546495</v>
      </c>
      <c r="LI360" s="5">
        <v>-0.193761999600774</v>
      </c>
      <c r="LJ360" s="5">
        <v>0.18674106014012501</v>
      </c>
      <c r="LK360" s="5">
        <v>0.129528813692765</v>
      </c>
      <c r="LL360" s="5">
        <v>0.28987973738709399</v>
      </c>
      <c r="LM360" s="5">
        <v>-1.9972820124574901E-2</v>
      </c>
      <c r="LN360" s="5">
        <v>0.38100799310116901</v>
      </c>
      <c r="LO360" s="5">
        <v>-0.14005956756648699</v>
      </c>
      <c r="LP360" s="5">
        <v>0.58006958663447095</v>
      </c>
      <c r="LQ360" s="5">
        <v>-0.34562186560092301</v>
      </c>
      <c r="LR360" s="5">
        <v>2.13808857785266E-2</v>
      </c>
      <c r="LS360" s="5">
        <v>0.102831507409211</v>
      </c>
      <c r="LT360" s="5">
        <v>8.9479747852880001E-2</v>
      </c>
      <c r="LU360" s="5">
        <v>9.6750476244774605E-2</v>
      </c>
      <c r="LV360" s="5">
        <v>-0.140580124986421</v>
      </c>
      <c r="LW360" s="5">
        <v>0.114471169989782</v>
      </c>
      <c r="LX360" s="5">
        <v>0.42520688486819203</v>
      </c>
      <c r="LY360" s="5">
        <v>-1.2657945212201401E-2</v>
      </c>
      <c r="LZ360" s="5">
        <v>0.42461335551559898</v>
      </c>
      <c r="MA360" s="5">
        <v>-0.110452576528005</v>
      </c>
      <c r="MB360" s="5">
        <v>0.31708940913436301</v>
      </c>
      <c r="MC360" s="5">
        <v>-3.7568865118665903E-2</v>
      </c>
      <c r="MD360" s="5">
        <v>0.54258645396124905</v>
      </c>
      <c r="ME360" s="5">
        <v>-0.30025774645775899</v>
      </c>
      <c r="MF360" s="5">
        <v>5.21489139515098E-2</v>
      </c>
      <c r="MG360" s="5">
        <v>-7.8822582038356306E-2</v>
      </c>
      <c r="MH360" s="5">
        <v>0.38528177293475002</v>
      </c>
      <c r="MI360" s="5">
        <v>0.12175596008932101</v>
      </c>
      <c r="MJ360" s="5">
        <v>0.26400252988038198</v>
      </c>
      <c r="MK360" s="5">
        <v>-8.1553132391896002E-2</v>
      </c>
      <c r="ML360" s="5">
        <v>0.20758321762302601</v>
      </c>
      <c r="MM360" s="5">
        <v>-1.78960529768552E-2</v>
      </c>
      <c r="MN360" s="5">
        <v>0.29294089688903102</v>
      </c>
      <c r="MO360" s="5">
        <v>-9.1394987302531594E-2</v>
      </c>
      <c r="MP360" s="5">
        <v>0.533328036720362</v>
      </c>
      <c r="MQ360" s="5">
        <v>-0.195961925282538</v>
      </c>
      <c r="MR360" s="5">
        <v>0.28538025225019897</v>
      </c>
      <c r="MS360" s="5">
        <v>7.9839481783465505E-2</v>
      </c>
      <c r="MT360" s="5">
        <v>0.38348255606321302</v>
      </c>
      <c r="MU360" s="5">
        <v>-0.29201692997466799</v>
      </c>
      <c r="MV360" s="5">
        <v>1</v>
      </c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</row>
    <row r="361" spans="1:389" x14ac:dyDescent="0.45">
      <c r="A361" s="4" t="str">
        <f ca="1">"TWN / beta2dist in "&amp;CELL("address",'damages-1990'!$K$181)</f>
        <v>TWN / beta2dist in '[BHM betas v3pd.xlsx]damages-1990'!$K$181</v>
      </c>
      <c r="B361" s="6">
        <v>6.9482202915108607E-2</v>
      </c>
      <c r="C361" s="5">
        <v>-0.155679293591964</v>
      </c>
      <c r="D361" s="5">
        <v>-0.17631720160596401</v>
      </c>
      <c r="E361" s="5">
        <v>0.23791244513527801</v>
      </c>
      <c r="F361" s="5">
        <v>-6.2807583329943196E-3</v>
      </c>
      <c r="G361" s="5">
        <v>-3.5252917368894902E-2</v>
      </c>
      <c r="H361" s="5">
        <v>1.2516718306748501E-3</v>
      </c>
      <c r="I361" s="5">
        <v>1.01361647674686E-2</v>
      </c>
      <c r="J361" s="5">
        <v>-2.3909084631482998E-2</v>
      </c>
      <c r="K361" s="5">
        <v>3.8438364011554503E-2</v>
      </c>
      <c r="L361" s="5">
        <v>-0.152511440070382</v>
      </c>
      <c r="M361" s="5">
        <v>0.12290662587310799</v>
      </c>
      <c r="N361" s="5">
        <v>-5.4493137997405697E-3</v>
      </c>
      <c r="O361" s="5">
        <v>5.5147723829889802E-3</v>
      </c>
      <c r="P361" s="5">
        <v>-3.72306174972976E-2</v>
      </c>
      <c r="Q361" s="5">
        <v>0.158787371917818</v>
      </c>
      <c r="R361" s="5">
        <v>-0.16403092871118399</v>
      </c>
      <c r="S361" s="5">
        <v>0.206328879430032</v>
      </c>
      <c r="T361" s="5">
        <v>-6.8637240156434701E-2</v>
      </c>
      <c r="U361" s="5">
        <v>6.6786212532795999E-2</v>
      </c>
      <c r="V361" s="5">
        <v>-1.5982515515729899E-3</v>
      </c>
      <c r="W361" s="5">
        <v>-6.6471840202999594E-2</v>
      </c>
      <c r="X361" s="5">
        <v>-0.11281563294685</v>
      </c>
      <c r="Y361" s="5">
        <v>0.16458409167980101</v>
      </c>
      <c r="Z361" s="5">
        <v>-1.28367422743978E-2</v>
      </c>
      <c r="AA361" s="5">
        <v>-6.9029595355399997E-3</v>
      </c>
      <c r="AB361" s="5">
        <v>-0.140506719365037</v>
      </c>
      <c r="AC361" s="5">
        <v>0.24843769985776201</v>
      </c>
      <c r="AD361" s="5">
        <v>-0.14661138183570999</v>
      </c>
      <c r="AE361" s="5">
        <v>0.248794780954642</v>
      </c>
      <c r="AF361" s="5">
        <v>-0.35631492018050698</v>
      </c>
      <c r="AG361" s="5">
        <v>0.43996131025768298</v>
      </c>
      <c r="AH361" s="5">
        <v>2.9258665760391302E-2</v>
      </c>
      <c r="AI361" s="5">
        <v>-5.85985590312827E-2</v>
      </c>
      <c r="AJ361" s="5">
        <v>-0.114509141663325</v>
      </c>
      <c r="AK361" s="5">
        <v>0.114190510864635</v>
      </c>
      <c r="AL361" s="5">
        <v>-6.1261869638423602E-2</v>
      </c>
      <c r="AM361" s="5">
        <v>8.3197140932116595E-2</v>
      </c>
      <c r="AN361" s="5">
        <v>-1.8199673540577398E-2</v>
      </c>
      <c r="AO361" s="5">
        <v>7.8062408222000701E-3</v>
      </c>
      <c r="AP361" s="5">
        <v>-0.108896167712329</v>
      </c>
      <c r="AQ361" s="5">
        <v>0.112737406998056</v>
      </c>
      <c r="AR361" s="5">
        <v>-0.28940950959210798</v>
      </c>
      <c r="AS361" s="5">
        <v>0.38927780749812602</v>
      </c>
      <c r="AT361" s="5">
        <v>-7.19093730806406E-3</v>
      </c>
      <c r="AU361" s="5">
        <v>-4.1831015226991501E-2</v>
      </c>
      <c r="AV361" s="5">
        <v>-0.20390906910839901</v>
      </c>
      <c r="AW361" s="5">
        <v>0.34576338712124899</v>
      </c>
      <c r="AX361" s="5">
        <v>-0.245803349391782</v>
      </c>
      <c r="AY361" s="5">
        <v>0.40633932587889798</v>
      </c>
      <c r="AZ361" s="5">
        <v>-0.188318605640135</v>
      </c>
      <c r="BA361" s="5">
        <v>0.31732010666983901</v>
      </c>
      <c r="BB361" s="5">
        <v>-0.107261424654936</v>
      </c>
      <c r="BC361" s="5">
        <v>0.177622919716033</v>
      </c>
      <c r="BD361" s="5">
        <v>-1.8863783728057699E-2</v>
      </c>
      <c r="BE361" s="5">
        <v>-4.1295045973776902E-2</v>
      </c>
      <c r="BF361" s="5">
        <v>-0.23118489109815499</v>
      </c>
      <c r="BG361" s="5">
        <v>0.243909143625997</v>
      </c>
      <c r="BH361" s="5">
        <v>-0.19950654860353401</v>
      </c>
      <c r="BI361" s="5">
        <v>0.33074055436733801</v>
      </c>
      <c r="BJ361" s="5">
        <v>-3.7396130967565298E-2</v>
      </c>
      <c r="BK361" s="5">
        <v>2.04877456106799E-3</v>
      </c>
      <c r="BL361" s="5">
        <v>-0.111818836132801</v>
      </c>
      <c r="BM361" s="5">
        <v>0.12584194806028401</v>
      </c>
      <c r="BN361" s="5">
        <v>1.1686590398815099E-2</v>
      </c>
      <c r="BO361" s="5">
        <v>-5.74767215209053E-2</v>
      </c>
      <c r="BP361" s="5">
        <v>0.12866435637439599</v>
      </c>
      <c r="BQ361" s="5">
        <v>-0.26898417951009801</v>
      </c>
      <c r="BR361" s="5">
        <v>-0.19397513243890799</v>
      </c>
      <c r="BS361" s="5">
        <v>0.31079812672775298</v>
      </c>
      <c r="BT361" s="5">
        <v>-0.24393747638076499</v>
      </c>
      <c r="BU361" s="5">
        <v>0.38114415761431802</v>
      </c>
      <c r="BV361" s="5">
        <v>-0.17395563775853501</v>
      </c>
      <c r="BW361" s="5">
        <v>0.28753537428694398</v>
      </c>
      <c r="BX361" s="5">
        <v>-0.124762639564873</v>
      </c>
      <c r="BY361" s="5">
        <v>0.27876184391981201</v>
      </c>
      <c r="BZ361" s="5">
        <v>-0.179103600782476</v>
      </c>
      <c r="CA361" s="5">
        <v>0.27785776523629302</v>
      </c>
      <c r="CB361" s="5">
        <v>-0.27535847565472799</v>
      </c>
      <c r="CC361" s="5">
        <v>0.41160561241829902</v>
      </c>
      <c r="CD361" s="5">
        <v>8.5175003553691703E-2</v>
      </c>
      <c r="CE361" s="5">
        <v>-8.87293013722215E-2</v>
      </c>
      <c r="CF361" s="5">
        <v>-0.18252459592436401</v>
      </c>
      <c r="CG361" s="5">
        <v>0.282507979142823</v>
      </c>
      <c r="CH361" s="5">
        <v>-8.6203852827001104E-2</v>
      </c>
      <c r="CI361" s="5">
        <v>0.14936306450247</v>
      </c>
      <c r="CJ361" s="5">
        <v>-3.9212609806309903E-2</v>
      </c>
      <c r="CK361" s="5">
        <v>-4.3250028845026101E-2</v>
      </c>
      <c r="CL361" s="5">
        <v>-4.9960726498695797E-2</v>
      </c>
      <c r="CM361" s="5">
        <v>4.1285637660390499E-2</v>
      </c>
      <c r="CN361" s="5">
        <v>-2.6176250950588301E-2</v>
      </c>
      <c r="CO361" s="5">
        <v>1.11117337691933E-2</v>
      </c>
      <c r="CP361" s="5">
        <v>-0.25835497915734701</v>
      </c>
      <c r="CQ361" s="5">
        <v>0.33735003579529799</v>
      </c>
      <c r="CR361" s="5">
        <v>-0.13546407034347599</v>
      </c>
      <c r="CS361" s="5">
        <v>0.27036297181161401</v>
      </c>
      <c r="CT361" s="5">
        <v>-5.1028183489664203E-2</v>
      </c>
      <c r="CU361" s="5">
        <v>6.8017988539818497E-2</v>
      </c>
      <c r="CV361" s="5">
        <v>-0.19624793165485899</v>
      </c>
      <c r="CW361" s="5">
        <v>0.36808173488065399</v>
      </c>
      <c r="CX361" s="5">
        <v>-0.247098285584856</v>
      </c>
      <c r="CY361" s="5">
        <v>0.28662901730222601</v>
      </c>
      <c r="CZ361" s="5">
        <v>-0.1191252943598</v>
      </c>
      <c r="DA361" s="5">
        <v>0.18895794292612</v>
      </c>
      <c r="DB361" s="5">
        <v>-5.3560661790146E-2</v>
      </c>
      <c r="DC361" s="5">
        <v>4.2918452239456999E-2</v>
      </c>
      <c r="DD361" s="5">
        <v>-0.20049832299815101</v>
      </c>
      <c r="DE361" s="5">
        <v>0.29821527018822702</v>
      </c>
      <c r="DF361" s="5">
        <v>-2.2086147725917299E-2</v>
      </c>
      <c r="DG361" s="5">
        <v>1.7897201579498499E-2</v>
      </c>
      <c r="DH361" s="5">
        <v>-4.6457131736517401E-2</v>
      </c>
      <c r="DI361" s="5">
        <v>3.6091943313127299E-3</v>
      </c>
      <c r="DJ361" s="5">
        <v>-0.131894138440588</v>
      </c>
      <c r="DK361" s="5">
        <v>0.139361850370988</v>
      </c>
      <c r="DL361" s="5">
        <v>-0.100819995435373</v>
      </c>
      <c r="DM361" s="5">
        <v>0.196740360338055</v>
      </c>
      <c r="DN361" s="5">
        <v>-7.2766340895669801E-2</v>
      </c>
      <c r="DO361" s="5">
        <v>8.5965122076165204E-2</v>
      </c>
      <c r="DP361" s="5">
        <v>-2.1902646201621599E-2</v>
      </c>
      <c r="DQ361" s="5">
        <v>1.10707999887038E-2</v>
      </c>
      <c r="DR361" s="5">
        <v>-2.6303704531827499E-2</v>
      </c>
      <c r="DS361" s="5">
        <v>9.4492444583466496E-4</v>
      </c>
      <c r="DT361" s="5">
        <v>-0.482791391085444</v>
      </c>
      <c r="DU361" s="5">
        <v>0.52472680048006504</v>
      </c>
      <c r="DV361" s="5">
        <v>-1.44078236752327E-2</v>
      </c>
      <c r="DW361" s="5">
        <v>0.11239364493710501</v>
      </c>
      <c r="DX361" s="5">
        <v>3.75364234568853E-2</v>
      </c>
      <c r="DY361" s="5">
        <v>-3.8527530995535103E-2</v>
      </c>
      <c r="DZ361" s="5">
        <v>-1.5683267859612299E-2</v>
      </c>
      <c r="EA361" s="5">
        <v>1.54912051011728E-2</v>
      </c>
      <c r="EB361" s="5">
        <v>-0.19655702641482101</v>
      </c>
      <c r="EC361" s="5">
        <v>0.30871686172116702</v>
      </c>
      <c r="ED361" s="5">
        <v>-0.19312774763107199</v>
      </c>
      <c r="EE361" s="5">
        <v>0.301170627521746</v>
      </c>
      <c r="EF361" s="5">
        <v>-0.110020049255974</v>
      </c>
      <c r="EG361" s="5">
        <v>0.228957516142896</v>
      </c>
      <c r="EH361" s="5">
        <v>-9.7605813583000606E-2</v>
      </c>
      <c r="EI361" s="5">
        <v>0.19284905257474999</v>
      </c>
      <c r="EJ361" s="5">
        <v>-0.107384161982648</v>
      </c>
      <c r="EK361" s="5">
        <v>0.21219410706070799</v>
      </c>
      <c r="EL361" s="5">
        <v>-0.22580778383115699</v>
      </c>
      <c r="EM361" s="5">
        <v>0.34450733486710999</v>
      </c>
      <c r="EN361" s="5">
        <v>-1.6124638364344E-2</v>
      </c>
      <c r="EO361" s="5">
        <v>-3.52065782102257E-2</v>
      </c>
      <c r="EP361" s="5">
        <v>-0.26621061403209401</v>
      </c>
      <c r="EQ361" s="5">
        <v>0.392468542069006</v>
      </c>
      <c r="ER361" s="5">
        <v>-0.293546051360141</v>
      </c>
      <c r="ES361" s="5">
        <v>0.41932651126210801</v>
      </c>
      <c r="ET361" s="5">
        <v>-8.4051005994139796E-2</v>
      </c>
      <c r="EU361" s="5">
        <v>0.21541001870307</v>
      </c>
      <c r="EV361" s="5">
        <v>-0.28659503997256802</v>
      </c>
      <c r="EW361" s="5">
        <v>0.40372020849298001</v>
      </c>
      <c r="EX361" s="5">
        <v>-0.257053255178879</v>
      </c>
      <c r="EY361" s="5">
        <v>0.424417492844194</v>
      </c>
      <c r="EZ361" s="5">
        <v>-0.28903986636828199</v>
      </c>
      <c r="FA361" s="5">
        <v>0.39574122151656199</v>
      </c>
      <c r="FB361" s="5">
        <v>-1.05231771055738E-2</v>
      </c>
      <c r="FC361" s="5">
        <v>-5.6716899008347503E-3</v>
      </c>
      <c r="FD361" s="5">
        <v>-0.15891962261658499</v>
      </c>
      <c r="FE361" s="5">
        <v>0.32260261695938502</v>
      </c>
      <c r="FF361" s="5">
        <v>-8.37448263216173E-3</v>
      </c>
      <c r="FG361" s="5">
        <v>-3.9691764842480501E-3</v>
      </c>
      <c r="FH361" s="5">
        <v>-0.18319427068036501</v>
      </c>
      <c r="FI361" s="5">
        <v>0.35951431885502599</v>
      </c>
      <c r="FJ361" s="5">
        <v>-6.9999507538630601E-2</v>
      </c>
      <c r="FK361" s="5">
        <v>7.3898750882589501E-2</v>
      </c>
      <c r="FL361" s="5">
        <v>0.105154213066963</v>
      </c>
      <c r="FM361" s="5">
        <v>-0.114469426877557</v>
      </c>
      <c r="FN361" s="5">
        <v>-9.1441345074213698E-2</v>
      </c>
      <c r="FO361" s="5">
        <v>5.4800401820660698E-2</v>
      </c>
      <c r="FP361" s="5">
        <v>-0.19082261365748501</v>
      </c>
      <c r="FQ361" s="5">
        <v>0.19607943927516</v>
      </c>
      <c r="FR361" s="5">
        <v>0.13464869017047901</v>
      </c>
      <c r="FS361" s="5">
        <v>-8.2145847240878797E-2</v>
      </c>
      <c r="FT361" s="5">
        <v>-0.162181962899896</v>
      </c>
      <c r="FU361" s="5">
        <v>0.15388932461733401</v>
      </c>
      <c r="FV361" s="5">
        <v>-7.4647156222182398E-3</v>
      </c>
      <c r="FW361" s="5">
        <v>-1.98822714953081E-2</v>
      </c>
      <c r="FX361" s="5">
        <v>-0.15898394687085901</v>
      </c>
      <c r="FY361" s="5">
        <v>0.282067258631922</v>
      </c>
      <c r="FZ361" s="5">
        <v>-0.13948679042551701</v>
      </c>
      <c r="GA361" s="5">
        <v>0.14605133869095499</v>
      </c>
      <c r="GB361" s="5">
        <v>-9.5029691166133995E-3</v>
      </c>
      <c r="GC361" s="5">
        <v>-3.6453946305177697E-2</v>
      </c>
      <c r="GD361" s="5">
        <v>-4.1683376725759697E-2</v>
      </c>
      <c r="GE361" s="5">
        <v>4.3687735745006701E-2</v>
      </c>
      <c r="GF361" s="5">
        <v>3.9542180383895197E-2</v>
      </c>
      <c r="GG361" s="5">
        <v>5.4500123096191198E-2</v>
      </c>
      <c r="GH361" s="5">
        <v>0.11808922649687401</v>
      </c>
      <c r="GI361" s="5">
        <v>-0.14840568457082001</v>
      </c>
      <c r="GJ361" s="5">
        <v>-0.125915451202607</v>
      </c>
      <c r="GK361" s="5">
        <v>0.17942053563827501</v>
      </c>
      <c r="GL361" s="5">
        <v>-0.149863647432115</v>
      </c>
      <c r="GM361" s="5">
        <v>0.25476702877691298</v>
      </c>
      <c r="GN361" s="5">
        <v>-3.2308399129743898E-2</v>
      </c>
      <c r="GO361" s="5">
        <v>4.9817768294010902E-4</v>
      </c>
      <c r="GP361" s="5">
        <v>-0.21264320480015</v>
      </c>
      <c r="GQ361" s="5">
        <v>0.249363119750101</v>
      </c>
      <c r="GR361" s="5">
        <v>-0.24963282838738701</v>
      </c>
      <c r="GS361" s="5">
        <v>0.39771568448357703</v>
      </c>
      <c r="GT361" s="5">
        <v>-0.114015928307088</v>
      </c>
      <c r="GU361" s="5">
        <v>0.108883349786133</v>
      </c>
      <c r="GV361" s="5">
        <v>-9.4217259397376601E-2</v>
      </c>
      <c r="GW361" s="5">
        <v>0.233684856428894</v>
      </c>
      <c r="GX361" s="5">
        <v>-0.16395357097642799</v>
      </c>
      <c r="GY361" s="5">
        <v>0.2086503650506</v>
      </c>
      <c r="GZ361" s="5">
        <v>-0.111829168028101</v>
      </c>
      <c r="HA361" s="5">
        <v>0.123744392236545</v>
      </c>
      <c r="HB361" s="5">
        <v>-7.3635527839001902E-2</v>
      </c>
      <c r="HC361" s="5">
        <v>0.183196493032142</v>
      </c>
      <c r="HD361" s="5">
        <v>-0.114173846841624</v>
      </c>
      <c r="HE361" s="5">
        <v>0.11270138321287</v>
      </c>
      <c r="HF361" s="5">
        <v>-0.11001870611824301</v>
      </c>
      <c r="HG361" s="5">
        <v>0.111761505029374</v>
      </c>
      <c r="HH361" s="5">
        <v>-1.38864740187066E-2</v>
      </c>
      <c r="HI361" s="5">
        <v>-1.00628640613812E-2</v>
      </c>
      <c r="HJ361" s="5">
        <v>-0.11018542498009599</v>
      </c>
      <c r="HK361" s="5">
        <v>0.11124138585762899</v>
      </c>
      <c r="HL361" s="5">
        <v>-6.2390733693480999E-2</v>
      </c>
      <c r="HM361" s="5">
        <v>6.201902843663E-2</v>
      </c>
      <c r="HN361" s="5">
        <v>2.7415721207745301E-2</v>
      </c>
      <c r="HO361" s="5">
        <v>-3.5494957873746402E-2</v>
      </c>
      <c r="HP361" s="5">
        <v>4.88404239645003E-2</v>
      </c>
      <c r="HQ361" s="5">
        <v>8.2862525055420692E-3</v>
      </c>
      <c r="HR361" s="5">
        <v>-0.25141084865882402</v>
      </c>
      <c r="HS361" s="5">
        <v>0.39736284790980902</v>
      </c>
      <c r="HT361" s="5">
        <v>7.9058784416405695E-4</v>
      </c>
      <c r="HU361" s="5">
        <v>-2.5717865421786602E-2</v>
      </c>
      <c r="HV361" s="5">
        <v>-0.20293955570505401</v>
      </c>
      <c r="HW361" s="5">
        <v>0.28838437416101798</v>
      </c>
      <c r="HX361" s="5">
        <v>-0.261650109155948</v>
      </c>
      <c r="HY361" s="5">
        <v>0.396289399918065</v>
      </c>
      <c r="HZ361" s="5">
        <v>1.12059077597197E-2</v>
      </c>
      <c r="IA361" s="5">
        <v>-1.7715479181224899E-2</v>
      </c>
      <c r="IB361" s="5">
        <v>0.26828195047492098</v>
      </c>
      <c r="IC361" s="5">
        <v>-0.28721325775644502</v>
      </c>
      <c r="ID361" s="5">
        <v>9.5030102740799399E-2</v>
      </c>
      <c r="IE361" s="5">
        <v>-9.5203077608282199E-2</v>
      </c>
      <c r="IF361" s="5">
        <v>-0.13019174881061199</v>
      </c>
      <c r="IG361" s="5">
        <v>0.182152356175313</v>
      </c>
      <c r="IH361" s="5">
        <v>-0.12006835203378299</v>
      </c>
      <c r="II361" s="5">
        <v>0.25676474019954498</v>
      </c>
      <c r="IJ361" s="5">
        <v>-0.206010123354193</v>
      </c>
      <c r="IK361" s="5">
        <v>0.282229564116043</v>
      </c>
      <c r="IL361" s="5">
        <v>7.1742563082569294E-2</v>
      </c>
      <c r="IM361" s="5">
        <v>-7.8716185949110798E-2</v>
      </c>
      <c r="IN361" s="5">
        <v>-0.22825345483489901</v>
      </c>
      <c r="IO361" s="5">
        <v>0.36151101421055998</v>
      </c>
      <c r="IP361" s="5">
        <v>-0.22373825211499701</v>
      </c>
      <c r="IQ361" s="5">
        <v>0.24489990276512999</v>
      </c>
      <c r="IR361" s="5">
        <v>-7.60323097169808E-2</v>
      </c>
      <c r="IS361" s="5">
        <v>7.7430221373926397E-2</v>
      </c>
      <c r="IT361" s="5">
        <v>-0.14738715951519499</v>
      </c>
      <c r="IU361" s="5">
        <v>0.23127660016833099</v>
      </c>
      <c r="IV361" s="5">
        <v>-0.11866420360624801</v>
      </c>
      <c r="IW361" s="5">
        <v>0.21813715049600299</v>
      </c>
      <c r="IX361" s="5">
        <v>-0.25424564498282198</v>
      </c>
      <c r="IY361" s="5">
        <v>0.36875079533732702</v>
      </c>
      <c r="IZ361" s="5">
        <v>-2.6246100302416E-2</v>
      </c>
      <c r="JA361" s="5">
        <v>1.3699229340466501E-2</v>
      </c>
      <c r="JB361" s="5">
        <v>-6.3012489174829905E-2</v>
      </c>
      <c r="JC361" s="5">
        <v>8.6577029187385399E-2</v>
      </c>
      <c r="JD361" s="5">
        <v>2.4605276153787999E-2</v>
      </c>
      <c r="JE361" s="5">
        <v>-9.1284442643908698E-2</v>
      </c>
      <c r="JF361" s="5">
        <v>-0.331391917409529</v>
      </c>
      <c r="JG361" s="5">
        <v>0.44627879446676599</v>
      </c>
      <c r="JH361" s="5">
        <v>-0.14809879055635899</v>
      </c>
      <c r="JI361" s="5">
        <v>0.17482872510747699</v>
      </c>
      <c r="JJ361" s="5">
        <v>-0.148010253004346</v>
      </c>
      <c r="JK361" s="5">
        <v>0.17616174440752999</v>
      </c>
      <c r="JL361" s="5">
        <v>2.42044410877016E-2</v>
      </c>
      <c r="JM361" s="5">
        <v>-2.3168019731856199E-2</v>
      </c>
      <c r="JN361" s="5">
        <v>-0.13128991935286499</v>
      </c>
      <c r="JO361" s="5">
        <v>0.27498692018691301</v>
      </c>
      <c r="JP361" s="5">
        <v>-0.13490695474698999</v>
      </c>
      <c r="JQ361" s="5">
        <v>0.226636934145375</v>
      </c>
      <c r="JR361" s="5">
        <v>-0.247247966463818</v>
      </c>
      <c r="JS361" s="5">
        <v>0.391010766883084</v>
      </c>
      <c r="JT361" s="5">
        <v>-0.23366914865663899</v>
      </c>
      <c r="JU361" s="5">
        <v>0.25270604222355503</v>
      </c>
      <c r="JV361" s="5">
        <v>-0.14390781713616399</v>
      </c>
      <c r="JW361" s="5">
        <v>0.20087634773356899</v>
      </c>
      <c r="JX361" s="5">
        <v>-5.8821513660086401E-2</v>
      </c>
      <c r="JY361" s="5">
        <v>5.2633438032713503E-2</v>
      </c>
      <c r="JZ361" s="5">
        <v>-0.2405402188712</v>
      </c>
      <c r="KA361" s="5">
        <v>0.36642853294973798</v>
      </c>
      <c r="KB361" s="5">
        <v>5.0992435511498103E-2</v>
      </c>
      <c r="KC361" s="5">
        <v>-7.8626850833834305E-2</v>
      </c>
      <c r="KD361" s="5">
        <v>2.0475291823562902E-2</v>
      </c>
      <c r="KE361" s="5">
        <v>-0.123774386080804</v>
      </c>
      <c r="KF361" s="5">
        <v>-0.18083938804581601</v>
      </c>
      <c r="KG361" s="5">
        <v>0.22278859857372299</v>
      </c>
      <c r="KH361" s="5">
        <v>-0.18495098329499099</v>
      </c>
      <c r="KI361" s="5">
        <v>0.17158299763868701</v>
      </c>
      <c r="KJ361" s="5">
        <v>-7.1451441954107006E-2</v>
      </c>
      <c r="KK361" s="5">
        <v>7.7945222360946601E-2</v>
      </c>
      <c r="KL361" s="5">
        <v>-0.16922847677066299</v>
      </c>
      <c r="KM361" s="5">
        <v>0.25661203723902798</v>
      </c>
      <c r="KN361" s="5">
        <v>1.70181594454549E-2</v>
      </c>
      <c r="KO361" s="5">
        <v>-2.28993913424076E-2</v>
      </c>
      <c r="KP361" s="5">
        <v>0.19897655130245001</v>
      </c>
      <c r="KQ361" s="5">
        <v>-0.20774604198188501</v>
      </c>
      <c r="KR361" s="5">
        <v>-0.131025306828566</v>
      </c>
      <c r="KS361" s="5">
        <v>0.217997834397401</v>
      </c>
      <c r="KT361" s="5">
        <v>-0.15276334567704</v>
      </c>
      <c r="KU361" s="5">
        <v>0.208219097445659</v>
      </c>
      <c r="KV361" s="5">
        <v>-6.2854603062505399E-2</v>
      </c>
      <c r="KW361" s="5">
        <v>0.18250687617952999</v>
      </c>
      <c r="KX361" s="5">
        <v>-0.10969435319788599</v>
      </c>
      <c r="KY361" s="5">
        <v>0.19951274657707499</v>
      </c>
      <c r="KZ361" s="5">
        <v>-0.26040792004809798</v>
      </c>
      <c r="LA361" s="5">
        <v>0.30527631315143899</v>
      </c>
      <c r="LB361" s="5">
        <v>-0.16663589497643899</v>
      </c>
      <c r="LC361" s="5">
        <v>0.26486017212855201</v>
      </c>
      <c r="LD361" s="5">
        <v>-0.27800509707867899</v>
      </c>
      <c r="LE361" s="5">
        <v>0.39596968408448302</v>
      </c>
      <c r="LF361" s="5">
        <v>-9.4053181264671607E-3</v>
      </c>
      <c r="LG361" s="5">
        <v>-6.7731535107911E-3</v>
      </c>
      <c r="LH361" s="5">
        <v>-0.302182810026974</v>
      </c>
      <c r="LI361" s="5">
        <v>0.399606184700742</v>
      </c>
      <c r="LJ361" s="5">
        <v>-1.28905946268086E-2</v>
      </c>
      <c r="LK361" s="5">
        <v>-4.1040138698613298E-3</v>
      </c>
      <c r="LL361" s="5">
        <v>-2.5371542445572898E-2</v>
      </c>
      <c r="LM361" s="5">
        <v>0.171617229411273</v>
      </c>
      <c r="LN361" s="5">
        <v>-9.76895653098213E-2</v>
      </c>
      <c r="LO361" s="5">
        <v>0.22273246960941701</v>
      </c>
      <c r="LP361" s="5">
        <v>-0.32251477724908101</v>
      </c>
      <c r="LQ361" s="5">
        <v>0.46802030899688701</v>
      </c>
      <c r="LR361" s="5">
        <v>-4.0081115974654198E-2</v>
      </c>
      <c r="LS361" s="5">
        <v>3.2458823343304202E-2</v>
      </c>
      <c r="LT361" s="5">
        <v>-5.6437425767533599E-2</v>
      </c>
      <c r="LU361" s="5">
        <v>5.3663919790403899E-2</v>
      </c>
      <c r="LV361" s="5">
        <v>-8.9937597990805404E-2</v>
      </c>
      <c r="LW361" s="5">
        <v>0.114969412752153</v>
      </c>
      <c r="LX361" s="5">
        <v>-0.12908685073557599</v>
      </c>
      <c r="LY361" s="5">
        <v>0.133851279712104</v>
      </c>
      <c r="LZ361" s="5">
        <v>-0.153995849811883</v>
      </c>
      <c r="MA361" s="5">
        <v>0.28555874218719801</v>
      </c>
      <c r="MB361" s="5">
        <v>-0.152909023003339</v>
      </c>
      <c r="MC361" s="5">
        <v>0.27150095527921703</v>
      </c>
      <c r="MD361" s="5">
        <v>-0.23640147481363999</v>
      </c>
      <c r="ME361" s="5">
        <v>0.34511771033045902</v>
      </c>
      <c r="MF361" s="5">
        <v>8.7366946028958892E-3</v>
      </c>
      <c r="MG361" s="5">
        <v>-2.4818633329568199E-2</v>
      </c>
      <c r="MH361" s="5">
        <v>-3.1958284320993999E-2</v>
      </c>
      <c r="MI361" s="5">
        <v>-4.8776694728346601E-2</v>
      </c>
      <c r="MJ361" s="5">
        <v>2.3418164785204799E-2</v>
      </c>
      <c r="MK361" s="5">
        <v>-3.2667900679631198E-2</v>
      </c>
      <c r="ML361" s="5">
        <v>0.12637051914306299</v>
      </c>
      <c r="MM361" s="5">
        <v>-6.3808007801018696E-2</v>
      </c>
      <c r="MN361" s="5">
        <v>-0.25067242423233199</v>
      </c>
      <c r="MO361" s="5">
        <v>0.33425800617162399</v>
      </c>
      <c r="MP361" s="5">
        <v>-0.31326784096086302</v>
      </c>
      <c r="MQ361" s="5">
        <v>0.37488610195827499</v>
      </c>
      <c r="MR361" s="5">
        <v>9.2439281407151307E-3</v>
      </c>
      <c r="MS361" s="5">
        <v>-6.1027786313853298E-2</v>
      </c>
      <c r="MT361" s="5">
        <v>-0.50902963155353298</v>
      </c>
      <c r="MU361" s="5">
        <v>0.56270460354007901</v>
      </c>
      <c r="MV361" s="5">
        <v>-0.73654163661685501</v>
      </c>
      <c r="MW361" s="5">
        <v>1</v>
      </c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</row>
    <row r="362" spans="1:389" x14ac:dyDescent="0.45">
      <c r="A362" s="4" t="str">
        <f ca="1">"TZA / beta1dist in "&amp;CELL("address",'damages-1990'!$J$182)</f>
        <v>TZA / beta1dist in '[BHM betas v3pd.xlsx]damages-1990'!$J$182</v>
      </c>
      <c r="B362" s="6">
        <v>0.31419702388313597</v>
      </c>
      <c r="C362" s="5">
        <v>0.110076987505365</v>
      </c>
      <c r="D362" s="5">
        <v>0.60890625730397097</v>
      </c>
      <c r="E362" s="5">
        <v>-0.269120812164024</v>
      </c>
      <c r="F362" s="5">
        <v>0.222340016899125</v>
      </c>
      <c r="G362" s="5">
        <v>0.104537047647747</v>
      </c>
      <c r="H362" s="5">
        <v>-0.184106206904396</v>
      </c>
      <c r="I362" s="5">
        <v>0.209561464624127</v>
      </c>
      <c r="J362" s="5">
        <v>0.529187550498602</v>
      </c>
      <c r="K362" s="5">
        <v>-0.14755804904022601</v>
      </c>
      <c r="L362" s="5">
        <v>0.39257902741602302</v>
      </c>
      <c r="M362" s="5">
        <v>8.15950214916541E-3</v>
      </c>
      <c r="N362" s="5">
        <v>8.0073743584602702E-2</v>
      </c>
      <c r="O362" s="5">
        <v>-4.8420160291189299E-2</v>
      </c>
      <c r="P362" s="5">
        <v>0.26189409303047301</v>
      </c>
      <c r="Q362" s="5">
        <v>-3.4660901824721403E-2</v>
      </c>
      <c r="R362" s="5">
        <v>0.55501206724408303</v>
      </c>
      <c r="S362" s="5">
        <v>-0.20526082788521299</v>
      </c>
      <c r="T362" s="5">
        <v>-5.2378771206311299E-2</v>
      </c>
      <c r="U362" s="5">
        <v>7.19856499963797E-2</v>
      </c>
      <c r="V362" s="5">
        <v>0.33254647110664598</v>
      </c>
      <c r="W362" s="5">
        <v>8.8089882140002407E-2</v>
      </c>
      <c r="X362" s="5">
        <v>0.6713795662184</v>
      </c>
      <c r="Y362" s="5">
        <v>-0.32177243074943801</v>
      </c>
      <c r="Z362" s="5">
        <v>4.4083039267260897E-3</v>
      </c>
      <c r="AA362" s="5">
        <v>0.143845347048492</v>
      </c>
      <c r="AB362" s="5">
        <v>0.35865232183409901</v>
      </c>
      <c r="AC362" s="5">
        <v>-9.9016087120498003E-2</v>
      </c>
      <c r="AD362" s="5">
        <v>0.362166361955232</v>
      </c>
      <c r="AE362" s="5">
        <v>-6.18670598188754E-2</v>
      </c>
      <c r="AF362" s="5">
        <v>0.33625499834760098</v>
      </c>
      <c r="AG362" s="5">
        <v>-1.7180946595521499E-2</v>
      </c>
      <c r="AH362" s="5">
        <v>0.20973888832950699</v>
      </c>
      <c r="AI362" s="5">
        <v>5.6975549849897202E-2</v>
      </c>
      <c r="AJ362" s="5">
        <v>0.50678967295258903</v>
      </c>
      <c r="AK362" s="5">
        <v>-0.119943475517109</v>
      </c>
      <c r="AL362" s="5">
        <v>0.35473842585187298</v>
      </c>
      <c r="AM362" s="5">
        <v>-0.13106630763272401</v>
      </c>
      <c r="AN362" s="5">
        <v>0.14515882507629499</v>
      </c>
      <c r="AO362" s="5">
        <v>4.6169126693539004E-3</v>
      </c>
      <c r="AP362" s="5">
        <v>-7.3166596809309301E-2</v>
      </c>
      <c r="AQ362" s="5">
        <v>8.1540366068169098E-2</v>
      </c>
      <c r="AR362" s="5">
        <v>0.40244660227635698</v>
      </c>
      <c r="AS362" s="5">
        <v>-9.0670707356590302E-2</v>
      </c>
      <c r="AT362" s="5">
        <v>0.214035180761489</v>
      </c>
      <c r="AU362" s="5">
        <v>5.0011979109012401E-2</v>
      </c>
      <c r="AV362" s="5">
        <v>0.50027979402381295</v>
      </c>
      <c r="AW362" s="5">
        <v>-7.7469829674575094E-2</v>
      </c>
      <c r="AX362" s="5">
        <v>0.57958328883833199</v>
      </c>
      <c r="AY362" s="5">
        <v>-0.22316812405421599</v>
      </c>
      <c r="AZ362" s="5">
        <v>0.32808651233393699</v>
      </c>
      <c r="BA362" s="5">
        <v>-9.4541191209512598E-2</v>
      </c>
      <c r="BB362" s="5">
        <v>0.455126449504624</v>
      </c>
      <c r="BC362" s="5">
        <v>-9.0986027007359194E-2</v>
      </c>
      <c r="BD362" s="5">
        <v>0.13879811798115799</v>
      </c>
      <c r="BE362" s="5">
        <v>0.28099602832940501</v>
      </c>
      <c r="BF362" s="5">
        <v>0.31510724537408302</v>
      </c>
      <c r="BG362" s="5">
        <v>2.9498881695752899E-3</v>
      </c>
      <c r="BH362" s="5">
        <v>0.55812917464013601</v>
      </c>
      <c r="BI362" s="5">
        <v>-0.22000339697237201</v>
      </c>
      <c r="BJ362" s="5">
        <v>-0.35148790299177102</v>
      </c>
      <c r="BK362" s="5">
        <v>0.25296590524380302</v>
      </c>
      <c r="BL362" s="5">
        <v>-9.3162965727448199E-2</v>
      </c>
      <c r="BM362" s="5">
        <v>9.3475863208349705E-2</v>
      </c>
      <c r="BN362" s="5">
        <v>-0.102689862750505</v>
      </c>
      <c r="BO362" s="5">
        <v>0.287877377098335</v>
      </c>
      <c r="BP362" s="5">
        <v>-8.9034665733189397E-2</v>
      </c>
      <c r="BQ362" s="5">
        <v>0.24677016454304199</v>
      </c>
      <c r="BR362" s="5">
        <v>0.37985494233299</v>
      </c>
      <c r="BS362" s="5">
        <v>-0.12372981777153499</v>
      </c>
      <c r="BT362" s="5">
        <v>0.480871541027444</v>
      </c>
      <c r="BU362" s="5">
        <v>-0.13517401143181201</v>
      </c>
      <c r="BV362" s="5">
        <v>0.60504770824941501</v>
      </c>
      <c r="BW362" s="5">
        <v>-0.271578183082751</v>
      </c>
      <c r="BX362" s="5">
        <v>0.51561596007850496</v>
      </c>
      <c r="BY362" s="5">
        <v>-0.22561180614263401</v>
      </c>
      <c r="BZ362" s="5">
        <v>0.57288978176330596</v>
      </c>
      <c r="CA362" s="5">
        <v>-0.27287734596235602</v>
      </c>
      <c r="CB362" s="5">
        <v>0.40242020783715599</v>
      </c>
      <c r="CC362" s="5">
        <v>-0.105106039545368</v>
      </c>
      <c r="CD362" s="5">
        <v>0.37379986744792298</v>
      </c>
      <c r="CE362" s="5">
        <v>-0.130412551263868</v>
      </c>
      <c r="CF362" s="5">
        <v>0.55231221318405599</v>
      </c>
      <c r="CG362" s="5">
        <v>-0.28648440074548298</v>
      </c>
      <c r="CH362" s="5">
        <v>0.31142747077772798</v>
      </c>
      <c r="CI362" s="5">
        <v>-0.109865542799494</v>
      </c>
      <c r="CJ362" s="5">
        <v>0.25742984266135099</v>
      </c>
      <c r="CK362" s="5">
        <v>3.0205565534804801E-2</v>
      </c>
      <c r="CL362" s="5">
        <v>-8.7312915055723205E-3</v>
      </c>
      <c r="CM362" s="5">
        <v>6.9941445621796994E-2</v>
      </c>
      <c r="CN362" s="5">
        <v>9.1969055650117004E-4</v>
      </c>
      <c r="CO362" s="5">
        <v>9.7398561133692899E-2</v>
      </c>
      <c r="CP362" s="5">
        <v>0.49072979717637799</v>
      </c>
      <c r="CQ362" s="5">
        <v>-0.21258653767077201</v>
      </c>
      <c r="CR362" s="5">
        <v>0.27007808423332602</v>
      </c>
      <c r="CS362" s="5">
        <v>-1.42217854594989E-2</v>
      </c>
      <c r="CT362" s="5">
        <v>-1.6888814837026801E-2</v>
      </c>
      <c r="CU362" s="5">
        <v>4.0793820907608601E-2</v>
      </c>
      <c r="CV362" s="5">
        <v>0.27328100168547897</v>
      </c>
      <c r="CW362" s="5">
        <v>-2.5164740666798399E-2</v>
      </c>
      <c r="CX362" s="5">
        <v>0.291645034814833</v>
      </c>
      <c r="CY362" s="5">
        <v>9.7271203909876203E-2</v>
      </c>
      <c r="CZ362" s="5">
        <v>0.59672814345678005</v>
      </c>
      <c r="DA362" s="5">
        <v>-0.291962993190793</v>
      </c>
      <c r="DB362" s="5">
        <v>0.354924180333269</v>
      </c>
      <c r="DC362" s="5">
        <v>0.15151228326692701</v>
      </c>
      <c r="DD362" s="5">
        <v>0.38110001909040497</v>
      </c>
      <c r="DE362" s="5">
        <v>-6.4150801087984405E-2</v>
      </c>
      <c r="DF362" s="5">
        <v>0.56265469127577605</v>
      </c>
      <c r="DG362" s="5">
        <v>-0.276556885118242</v>
      </c>
      <c r="DH362" s="5">
        <v>0.366590351568234</v>
      </c>
      <c r="DI362" s="5">
        <v>-2.9790027697802299E-2</v>
      </c>
      <c r="DJ362" s="5">
        <v>-0.16100667855231801</v>
      </c>
      <c r="DK362" s="5">
        <v>0.12895539658649599</v>
      </c>
      <c r="DL362" s="5">
        <v>0.65912570693973405</v>
      </c>
      <c r="DM362" s="5">
        <v>-0.28973639113354499</v>
      </c>
      <c r="DN362" s="5">
        <v>-0.25248256521239298</v>
      </c>
      <c r="DO362" s="5">
        <v>0.16102796306623399</v>
      </c>
      <c r="DP362" s="5">
        <v>0.202862967936842</v>
      </c>
      <c r="DQ362" s="5">
        <v>0.114668245297014</v>
      </c>
      <c r="DR362" s="5">
        <v>0.11265950873785401</v>
      </c>
      <c r="DS362" s="5">
        <v>0.14292600744713499</v>
      </c>
      <c r="DT362" s="5">
        <v>0.24438113017631499</v>
      </c>
      <c r="DU362" s="5">
        <v>-5.3802833580870499E-2</v>
      </c>
      <c r="DV362" s="5">
        <v>0.38679373282844598</v>
      </c>
      <c r="DW362" s="5">
        <v>-0.14717294653249299</v>
      </c>
      <c r="DX362" s="5">
        <v>-0.16031250650607201</v>
      </c>
      <c r="DY362" s="5">
        <v>0.25717117864762101</v>
      </c>
      <c r="DZ362" s="5">
        <v>0.115561644820962</v>
      </c>
      <c r="EA362" s="5">
        <v>-6.7377143844920606E-2</v>
      </c>
      <c r="EB362" s="5">
        <v>0.43258744710946601</v>
      </c>
      <c r="EC362" s="5">
        <v>-0.14053152987846401</v>
      </c>
      <c r="ED362" s="5">
        <v>0.49191933766371998</v>
      </c>
      <c r="EE362" s="5">
        <v>-0.177459905251484</v>
      </c>
      <c r="EF362" s="5">
        <v>0.26229390376838202</v>
      </c>
      <c r="EG362" s="5">
        <v>-2.4574840333776101E-2</v>
      </c>
      <c r="EH362" s="5">
        <v>0.58516703364643796</v>
      </c>
      <c r="EI362" s="5">
        <v>-0.20311931449707399</v>
      </c>
      <c r="EJ362" s="5">
        <v>0.55928841448889699</v>
      </c>
      <c r="EK362" s="5">
        <v>-0.178469487031649</v>
      </c>
      <c r="EL362" s="5">
        <v>0.59584415381737899</v>
      </c>
      <c r="EM362" s="5">
        <v>-0.31387569341994398</v>
      </c>
      <c r="EN362" s="5">
        <v>0.19862067838780201</v>
      </c>
      <c r="EO362" s="5">
        <v>0.14853861827790099</v>
      </c>
      <c r="EP362" s="5">
        <v>0.26958134418768898</v>
      </c>
      <c r="EQ362" s="5">
        <v>-2.7670073987407898E-2</v>
      </c>
      <c r="ER362" s="5">
        <v>0.45086843834162499</v>
      </c>
      <c r="ES362" s="5">
        <v>-0.11190913178072701</v>
      </c>
      <c r="ET362" s="5">
        <v>0.53702671633110399</v>
      </c>
      <c r="EU362" s="5">
        <v>-0.26306977240850099</v>
      </c>
      <c r="EV362" s="5">
        <v>0.48960645051168</v>
      </c>
      <c r="EW362" s="5">
        <v>-0.19220342682386701</v>
      </c>
      <c r="EX362" s="5">
        <v>0.47101625697601401</v>
      </c>
      <c r="EY362" s="5">
        <v>-0.20420304998897901</v>
      </c>
      <c r="EZ362" s="5">
        <v>0.42285381385298398</v>
      </c>
      <c r="FA362" s="5">
        <v>-8.7605379867340197E-2</v>
      </c>
      <c r="FB362" s="5">
        <v>0.20994938995413701</v>
      </c>
      <c r="FC362" s="5">
        <v>4.9090218372959897E-2</v>
      </c>
      <c r="FD362" s="5">
        <v>0.372146235602062</v>
      </c>
      <c r="FE362" s="5">
        <v>-0.10794321728414499</v>
      </c>
      <c r="FF362" s="5">
        <v>0.17713630029496799</v>
      </c>
      <c r="FG362" s="5">
        <v>3.4066153205331802E-2</v>
      </c>
      <c r="FH362" s="5">
        <v>0.37679872312020801</v>
      </c>
      <c r="FI362" s="5">
        <v>-2.80818554942904E-3</v>
      </c>
      <c r="FJ362" s="5">
        <v>0.48202520683935401</v>
      </c>
      <c r="FK362" s="5">
        <v>-5.8743505189777397E-2</v>
      </c>
      <c r="FL362" s="5">
        <v>-0.140186452779863</v>
      </c>
      <c r="FM362" s="5">
        <v>0.25462099020136802</v>
      </c>
      <c r="FN362" s="5">
        <v>0.425084572920778</v>
      </c>
      <c r="FO362" s="5">
        <v>-3.2936826692558101E-3</v>
      </c>
      <c r="FP362" s="5">
        <v>0.39820380970778502</v>
      </c>
      <c r="FQ362" s="5">
        <v>4.3114168918458103E-2</v>
      </c>
      <c r="FR362" s="5">
        <v>-0.27442417642113998</v>
      </c>
      <c r="FS362" s="5">
        <v>0.26788141756933498</v>
      </c>
      <c r="FT362" s="5">
        <v>0.40860316776113098</v>
      </c>
      <c r="FU362" s="5">
        <v>5.0929735397631702E-2</v>
      </c>
      <c r="FV362" s="5">
        <v>0.28357211733177501</v>
      </c>
      <c r="FW362" s="5">
        <v>4.9389893138853003E-2</v>
      </c>
      <c r="FX362" s="5">
        <v>0.46452085303396801</v>
      </c>
      <c r="FY362" s="5">
        <v>-0.18513692976514401</v>
      </c>
      <c r="FZ362" s="5">
        <v>0.47201306230996898</v>
      </c>
      <c r="GA362" s="5">
        <v>1.3055392114677799E-2</v>
      </c>
      <c r="GB362" s="5">
        <v>0.213505010728747</v>
      </c>
      <c r="GC362" s="5">
        <v>7.1008477357474301E-2</v>
      </c>
      <c r="GD362" s="5">
        <v>-0.13790214534973899</v>
      </c>
      <c r="GE362" s="5">
        <v>0.183620169590166</v>
      </c>
      <c r="GF362" s="5">
        <v>0.73602472141208297</v>
      </c>
      <c r="GG362" s="5">
        <v>-0.408881932547626</v>
      </c>
      <c r="GH362" s="5">
        <v>-0.29013733964836902</v>
      </c>
      <c r="GI362" s="5">
        <v>0.259771231160635</v>
      </c>
      <c r="GJ362" s="5">
        <v>0.45626486540741201</v>
      </c>
      <c r="GK362" s="5">
        <v>-0.181873192094126</v>
      </c>
      <c r="GL362" s="5">
        <v>0.22014324760673701</v>
      </c>
      <c r="GM362" s="5">
        <v>2.9617264799287799E-3</v>
      </c>
      <c r="GN362" s="5">
        <v>0.19194991328479999</v>
      </c>
      <c r="GO362" s="5">
        <v>0.14068236288320701</v>
      </c>
      <c r="GP362" s="5">
        <v>0.45689095240133099</v>
      </c>
      <c r="GQ362" s="5">
        <v>-2.8494989562024699E-2</v>
      </c>
      <c r="GR362" s="5">
        <v>0.47569513751513098</v>
      </c>
      <c r="GS362" s="5">
        <v>-0.178234035953795</v>
      </c>
      <c r="GT362" s="5">
        <v>0.39025054825856798</v>
      </c>
      <c r="GU362" s="5">
        <v>2.8980099362368401E-2</v>
      </c>
      <c r="GV362" s="5">
        <v>0.38301525542593601</v>
      </c>
      <c r="GW362" s="5">
        <v>-0.161424768820672</v>
      </c>
      <c r="GX362" s="5">
        <v>0.207334023118112</v>
      </c>
      <c r="GY362" s="5">
        <v>0.19853424092706401</v>
      </c>
      <c r="GZ362" s="5">
        <v>-7.8124028571491297E-2</v>
      </c>
      <c r="HA362" s="5">
        <v>7.4817979025697895E-2</v>
      </c>
      <c r="HB362" s="5">
        <v>0.53980167612019903</v>
      </c>
      <c r="HC362" s="5">
        <v>-0.27172910771532399</v>
      </c>
      <c r="HD362" s="5">
        <v>0.22100654728102601</v>
      </c>
      <c r="HE362" s="5">
        <v>0.19031749642068399</v>
      </c>
      <c r="HF362" s="5">
        <v>-0.11937509066376099</v>
      </c>
      <c r="HG362" s="5">
        <v>0.12050544038451499</v>
      </c>
      <c r="HH362" s="5">
        <v>-5.7656208558815002E-3</v>
      </c>
      <c r="HI362" s="5">
        <v>0.13215830269139001</v>
      </c>
      <c r="HJ362" s="5">
        <v>-0.127732121274931</v>
      </c>
      <c r="HK362" s="5">
        <v>0.104543985901211</v>
      </c>
      <c r="HL362" s="5">
        <v>0.55128162692530702</v>
      </c>
      <c r="HM362" s="5">
        <v>-0.21390564166432299</v>
      </c>
      <c r="HN362" s="5">
        <v>0.17688824452416099</v>
      </c>
      <c r="HO362" s="5">
        <v>2.0685674438479799E-2</v>
      </c>
      <c r="HP362" s="5">
        <v>0.42660193313474398</v>
      </c>
      <c r="HQ362" s="5">
        <v>-4.0905256362218402E-2</v>
      </c>
      <c r="HR362" s="5">
        <v>0.50453017650957599</v>
      </c>
      <c r="HS362" s="5">
        <v>-0.14009149083126399</v>
      </c>
      <c r="HT362" s="5">
        <v>0.16845609003329301</v>
      </c>
      <c r="HU362" s="5">
        <v>8.1233705203096598E-2</v>
      </c>
      <c r="HV362" s="5">
        <v>0.29582158318962298</v>
      </c>
      <c r="HW362" s="5">
        <v>4.4160889145552301E-2</v>
      </c>
      <c r="HX362" s="5">
        <v>0.40435716231261498</v>
      </c>
      <c r="HY362" s="5">
        <v>-5.3643107537654701E-2</v>
      </c>
      <c r="HZ362" s="5">
        <v>0.116126831606289</v>
      </c>
      <c r="IA362" s="5">
        <v>-6.2070938152808501E-3</v>
      </c>
      <c r="IB362" s="5">
        <v>-0.13264348779889801</v>
      </c>
      <c r="IC362" s="5">
        <v>9.8076865243379593E-2</v>
      </c>
      <c r="ID362" s="5">
        <v>0.57432599596206702</v>
      </c>
      <c r="IE362" s="5">
        <v>-0.21600809989066899</v>
      </c>
      <c r="IF362" s="5">
        <v>0.39787415760163097</v>
      </c>
      <c r="IG362" s="5">
        <v>-3.8210253204227301E-2</v>
      </c>
      <c r="IH362" s="5">
        <v>0.32427311416138399</v>
      </c>
      <c r="II362" s="5">
        <v>-7.21432360024713E-2</v>
      </c>
      <c r="IJ362" s="5">
        <v>0.207445120206003</v>
      </c>
      <c r="IK362" s="5">
        <v>3.202988139251E-3</v>
      </c>
      <c r="IL362" s="5">
        <v>0.65632735513807805</v>
      </c>
      <c r="IM362" s="5">
        <v>-0.33787200808963702</v>
      </c>
      <c r="IN362" s="5">
        <v>0.48620814162449699</v>
      </c>
      <c r="IO362" s="5">
        <v>-0.14021946439129099</v>
      </c>
      <c r="IP362" s="5">
        <v>0.50951786019340295</v>
      </c>
      <c r="IQ362" s="5">
        <v>-0.15105465414461899</v>
      </c>
      <c r="IR362" s="5">
        <v>0.12494811230570101</v>
      </c>
      <c r="IS362" s="5">
        <v>0.18272669440176401</v>
      </c>
      <c r="IT362" s="5">
        <v>0.26644982518294302</v>
      </c>
      <c r="IU362" s="5">
        <v>0.102950081242755</v>
      </c>
      <c r="IV362" s="5">
        <v>0.261271982939904</v>
      </c>
      <c r="IW362" s="5">
        <v>2.45654085392337E-2</v>
      </c>
      <c r="IX362" s="5">
        <v>0.45140410458895902</v>
      </c>
      <c r="IY362" s="5">
        <v>-0.16175125634961199</v>
      </c>
      <c r="IZ362" s="5">
        <v>2.5395899431264399E-2</v>
      </c>
      <c r="JA362" s="5">
        <v>8.8955119815221806E-2</v>
      </c>
      <c r="JB362" s="5">
        <v>-0.20159863558452501</v>
      </c>
      <c r="JC362" s="5">
        <v>9.2311764306965097E-2</v>
      </c>
      <c r="JD362" s="5">
        <v>0.29998072828675498</v>
      </c>
      <c r="JE362" s="5">
        <v>0.16148639517680499</v>
      </c>
      <c r="JF362" s="5">
        <v>0.28087538564606701</v>
      </c>
      <c r="JG362" s="5">
        <v>-0.109589926649707</v>
      </c>
      <c r="JH362" s="5">
        <v>0.19851969658263099</v>
      </c>
      <c r="JI362" s="5">
        <v>-8.6013366976526895E-2</v>
      </c>
      <c r="JJ362" s="5">
        <v>0.59680431419418001</v>
      </c>
      <c r="JK362" s="5">
        <v>-0.18233527867729499</v>
      </c>
      <c r="JL362" s="5">
        <v>0.50715241976718095</v>
      </c>
      <c r="JM362" s="5">
        <v>-9.7251314624828E-2</v>
      </c>
      <c r="JN362" s="5">
        <v>0.479863664904433</v>
      </c>
      <c r="JO362" s="5">
        <v>-0.178592934767762</v>
      </c>
      <c r="JP362" s="5">
        <v>0.64528585180392894</v>
      </c>
      <c r="JQ362" s="5">
        <v>-0.27350870099756802</v>
      </c>
      <c r="JR362" s="5">
        <v>0.246638694887824</v>
      </c>
      <c r="JS362" s="5">
        <v>0.19662898815385299</v>
      </c>
      <c r="JT362" s="5">
        <v>0.16781269911313701</v>
      </c>
      <c r="JU362" s="5">
        <v>8.4429744183895594E-2</v>
      </c>
      <c r="JV362" s="5">
        <v>0.40387658570499202</v>
      </c>
      <c r="JW362" s="5">
        <v>-2.2487213003936898E-2</v>
      </c>
      <c r="JX362" s="5">
        <v>-1.57058308097573E-2</v>
      </c>
      <c r="JY362" s="5">
        <v>8.1541010926464499E-2</v>
      </c>
      <c r="JZ362" s="5">
        <v>0.22100235540971699</v>
      </c>
      <c r="KA362" s="5">
        <v>4.1388762914529101E-2</v>
      </c>
      <c r="KB362" s="5">
        <v>-4.3364647948803299E-2</v>
      </c>
      <c r="KC362" s="5">
        <v>6.5854855953475094E-2</v>
      </c>
      <c r="KD362" s="5">
        <v>0.482584656566935</v>
      </c>
      <c r="KE362" s="5">
        <v>-0.206101900642642</v>
      </c>
      <c r="KF362" s="5">
        <v>0.33540138391326302</v>
      </c>
      <c r="KG362" s="5">
        <v>4.6619000966503796E-3</v>
      </c>
      <c r="KH362" s="5">
        <v>0.387914363721299</v>
      </c>
      <c r="KI362" s="5">
        <v>7.03461126599291E-2</v>
      </c>
      <c r="KJ362" s="5">
        <v>0.51770590659367599</v>
      </c>
      <c r="KK362" s="5">
        <v>-0.13237102458861</v>
      </c>
      <c r="KL362" s="5">
        <v>0.23865112018964801</v>
      </c>
      <c r="KM362" s="5">
        <v>4.1415065320954701E-2</v>
      </c>
      <c r="KN362" s="5">
        <v>0.14351224228721801</v>
      </c>
      <c r="KO362" s="5">
        <v>1.6668940778632999E-2</v>
      </c>
      <c r="KP362" s="5">
        <v>-0.335911134106958</v>
      </c>
      <c r="KQ362" s="5">
        <v>0.23984347791190999</v>
      </c>
      <c r="KR362" s="5">
        <v>0.65960870915882697</v>
      </c>
      <c r="KS362" s="5">
        <v>-0.34626934073768501</v>
      </c>
      <c r="KT362" s="5">
        <v>0.56506982406790296</v>
      </c>
      <c r="KU362" s="5">
        <v>-0.17454031727069799</v>
      </c>
      <c r="KV362" s="5">
        <v>0.50549052613927903</v>
      </c>
      <c r="KW362" s="5">
        <v>-0.131904436221567</v>
      </c>
      <c r="KX362" s="5">
        <v>0.54202251952132896</v>
      </c>
      <c r="KY362" s="5">
        <v>-0.16446621900460701</v>
      </c>
      <c r="KZ362" s="5">
        <v>0.31882197287786701</v>
      </c>
      <c r="LA362" s="5">
        <v>-0.108293553711444</v>
      </c>
      <c r="LB362" s="5">
        <v>0.63615127771049496</v>
      </c>
      <c r="LC362" s="5">
        <v>-0.31818855082592801</v>
      </c>
      <c r="LD362" s="5">
        <v>0.43421101296965697</v>
      </c>
      <c r="LE362" s="5">
        <v>-0.115480832408973</v>
      </c>
      <c r="LF362" s="5">
        <v>0.18522002698431</v>
      </c>
      <c r="LG362" s="5">
        <v>8.5461996222843201E-2</v>
      </c>
      <c r="LH362" s="5">
        <v>0.69239379288141301</v>
      </c>
      <c r="LI362" s="5">
        <v>-0.34930295484544099</v>
      </c>
      <c r="LJ362" s="5">
        <v>0.189214889124973</v>
      </c>
      <c r="LK362" s="5">
        <v>7.2934999242001405E-2</v>
      </c>
      <c r="LL362" s="5">
        <v>0.54793609570601898</v>
      </c>
      <c r="LM362" s="5">
        <v>-0.23904819225202201</v>
      </c>
      <c r="LN362" s="5">
        <v>0.48178950264757697</v>
      </c>
      <c r="LO362" s="5">
        <v>-0.230326890812729</v>
      </c>
      <c r="LP362" s="5">
        <v>0.449566481316589</v>
      </c>
      <c r="LQ362" s="5">
        <v>-0.205041995993436</v>
      </c>
      <c r="LR362" s="5">
        <v>2.3144774711905701E-2</v>
      </c>
      <c r="LS362" s="5">
        <v>3.3689711425102603E-2</v>
      </c>
      <c r="LT362" s="5">
        <v>5.4244006031557497E-2</v>
      </c>
      <c r="LU362" s="5">
        <v>7.5273511841192006E-2</v>
      </c>
      <c r="LV362" s="5">
        <v>-0.15774932295917199</v>
      </c>
      <c r="LW362" s="5">
        <v>6.0079998929115301E-2</v>
      </c>
      <c r="LX362" s="5">
        <v>0.39484541296564502</v>
      </c>
      <c r="LY362" s="5">
        <v>3.4734709269195599E-2</v>
      </c>
      <c r="LZ362" s="5">
        <v>0.458492928352211</v>
      </c>
      <c r="MA362" s="5">
        <v>-0.100893696602242</v>
      </c>
      <c r="MB362" s="5">
        <v>0.35765433328028801</v>
      </c>
      <c r="MC362" s="5">
        <v>-8.5969601273479399E-2</v>
      </c>
      <c r="MD362" s="5">
        <v>0.43525267534568202</v>
      </c>
      <c r="ME362" s="5">
        <v>-0.165433632566271</v>
      </c>
      <c r="MF362" s="5">
        <v>-0.261226514744403</v>
      </c>
      <c r="MG362" s="5">
        <v>0.25742346533924498</v>
      </c>
      <c r="MH362" s="5">
        <v>0.40836251957247699</v>
      </c>
      <c r="MI362" s="5">
        <v>-3.8123692347189202E-4</v>
      </c>
      <c r="MJ362" s="5">
        <v>4.6194541317303897E-2</v>
      </c>
      <c r="MK362" s="5">
        <v>0.18167157847319501</v>
      </c>
      <c r="ML362" s="5">
        <v>0.307099162413704</v>
      </c>
      <c r="MM362" s="5">
        <v>-8.8112302457219904E-2</v>
      </c>
      <c r="MN362" s="5">
        <v>0.33247473613001799</v>
      </c>
      <c r="MO362" s="5">
        <v>-8.0458622450274506E-2</v>
      </c>
      <c r="MP362" s="5">
        <v>0.20643835090433199</v>
      </c>
      <c r="MQ362" s="5">
        <v>0.14892804226300199</v>
      </c>
      <c r="MR362" s="5">
        <v>0.27938867518599497</v>
      </c>
      <c r="MS362" s="5">
        <v>2.73262020970176E-2</v>
      </c>
      <c r="MT362" s="5">
        <v>8.4914071858646703E-2</v>
      </c>
      <c r="MU362" s="5">
        <v>2.82931317092136E-2</v>
      </c>
      <c r="MV362" s="5">
        <v>0.330412107588127</v>
      </c>
      <c r="MW362" s="5">
        <v>0.10655004414000301</v>
      </c>
      <c r="MX362" s="5">
        <v>1</v>
      </c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</row>
    <row r="363" spans="1:389" x14ac:dyDescent="0.45">
      <c r="A363" s="4" t="str">
        <f ca="1">"TZA / beta2dist in "&amp;CELL("address",'damages-1990'!$K$182)</f>
        <v>TZA / beta2dist in '[BHM betas v3pd.xlsx]damages-1990'!$K$182</v>
      </c>
      <c r="B363" s="6">
        <v>-0.16534672532474401</v>
      </c>
      <c r="C363" s="5">
        <v>0.22289820905584401</v>
      </c>
      <c r="D363" s="5">
        <v>-0.30170742284419599</v>
      </c>
      <c r="E363" s="5">
        <v>0.52622866823479997</v>
      </c>
      <c r="F363" s="5">
        <v>-7.3975586389457407E-2</v>
      </c>
      <c r="G363" s="5">
        <v>3.2168303278759199E-2</v>
      </c>
      <c r="H363" s="5">
        <v>0.127304879157078</v>
      </c>
      <c r="I363" s="5">
        <v>-0.23119423946435899</v>
      </c>
      <c r="J363" s="5">
        <v>-0.25439031028089198</v>
      </c>
      <c r="K363" s="5">
        <v>0.37550640011087699</v>
      </c>
      <c r="L363" s="5">
        <v>-7.8183663326489294E-2</v>
      </c>
      <c r="M363" s="5">
        <v>0.103750900335404</v>
      </c>
      <c r="N363" s="5">
        <v>-9.4773173148890305E-2</v>
      </c>
      <c r="O363" s="5">
        <v>6.7312386346992104E-2</v>
      </c>
      <c r="P363" s="5">
        <v>-0.19784255889913199</v>
      </c>
      <c r="Q363" s="5">
        <v>0.27269259876243201</v>
      </c>
      <c r="R363" s="5">
        <v>-0.19373945398069201</v>
      </c>
      <c r="S363" s="5">
        <v>0.36755884905511499</v>
      </c>
      <c r="T363" s="5">
        <v>-6.1119296263183097E-2</v>
      </c>
      <c r="U363" s="5">
        <v>5.3207944233736697E-2</v>
      </c>
      <c r="V363" s="5">
        <v>-0.10583327314768499</v>
      </c>
      <c r="W363" s="5">
        <v>8.1808892849774995E-2</v>
      </c>
      <c r="X363" s="5">
        <v>-0.39977206485135702</v>
      </c>
      <c r="Y363" s="5">
        <v>0.57778140264047595</v>
      </c>
      <c r="Z363" s="5">
        <v>1.18301415931661E-2</v>
      </c>
      <c r="AA363" s="5">
        <v>-3.5626287585665703E-2</v>
      </c>
      <c r="AB363" s="5">
        <v>-7.8776388577413106E-2</v>
      </c>
      <c r="AC363" s="5">
        <v>0.28224980885091999</v>
      </c>
      <c r="AD363" s="5">
        <v>-0.14792229362842299</v>
      </c>
      <c r="AE363" s="5">
        <v>0.31809627106379701</v>
      </c>
      <c r="AF363" s="5">
        <v>-7.3817890905404096E-2</v>
      </c>
      <c r="AG363" s="5">
        <v>0.18945450769311301</v>
      </c>
      <c r="AH363" s="5">
        <v>-0.11234087918713399</v>
      </c>
      <c r="AI363" s="5">
        <v>7.8057743886231101E-2</v>
      </c>
      <c r="AJ363" s="5">
        <v>-0.29152919924217502</v>
      </c>
      <c r="AK363" s="5">
        <v>0.36958198148052401</v>
      </c>
      <c r="AL363" s="5">
        <v>5.9417233712245797E-2</v>
      </c>
      <c r="AM363" s="5">
        <v>-4.7062408747318603E-2</v>
      </c>
      <c r="AN363" s="5">
        <v>-0.17523485849929299</v>
      </c>
      <c r="AO363" s="5">
        <v>0.170052984778267</v>
      </c>
      <c r="AP363" s="5">
        <v>-0.12192708953618001</v>
      </c>
      <c r="AQ363" s="5">
        <v>0.16109086355399699</v>
      </c>
      <c r="AR363" s="5">
        <v>-4.4839959655259103E-2</v>
      </c>
      <c r="AS363" s="5">
        <v>0.120437911509718</v>
      </c>
      <c r="AT363" s="5">
        <v>0.17163633816433899</v>
      </c>
      <c r="AU363" s="5">
        <v>-0.218343258746208</v>
      </c>
      <c r="AV363" s="5">
        <v>-6.4382970470505604E-2</v>
      </c>
      <c r="AW363" s="5">
        <v>0.150236546431783</v>
      </c>
      <c r="AX363" s="5">
        <v>-0.198611603389449</v>
      </c>
      <c r="AY363" s="5">
        <v>0.35684394581768702</v>
      </c>
      <c r="AZ363" s="5">
        <v>-0.25339005079913401</v>
      </c>
      <c r="BA363" s="5">
        <v>0.31466621766132002</v>
      </c>
      <c r="BB363" s="5">
        <v>-0.116233836768266</v>
      </c>
      <c r="BC363" s="5">
        <v>0.30384554052441098</v>
      </c>
      <c r="BD363" s="5">
        <v>-7.1204306295418601E-2</v>
      </c>
      <c r="BE363" s="5">
        <v>6.5480757971889403E-2</v>
      </c>
      <c r="BF363" s="5">
        <v>2.4297143140482001E-3</v>
      </c>
      <c r="BG363" s="5">
        <v>0.11178495979900301</v>
      </c>
      <c r="BH363" s="5">
        <v>-0.25125304609180299</v>
      </c>
      <c r="BI363" s="5">
        <v>0.46441758322566601</v>
      </c>
      <c r="BJ363" s="5">
        <v>9.25642024828323E-2</v>
      </c>
      <c r="BK363" s="5">
        <v>-0.22400035221792</v>
      </c>
      <c r="BL363" s="5">
        <v>-2.8690824226101402E-2</v>
      </c>
      <c r="BM363" s="5">
        <v>-2.6224077034707602E-3</v>
      </c>
      <c r="BN363" s="5">
        <v>0.10333673157018899</v>
      </c>
      <c r="BO363" s="5">
        <v>-0.24338283811163799</v>
      </c>
      <c r="BP363" s="5">
        <v>4.3375777312528699E-4</v>
      </c>
      <c r="BQ363" s="5">
        <v>-0.108525782312641</v>
      </c>
      <c r="BR363" s="5">
        <v>-0.19929530107879401</v>
      </c>
      <c r="BS363" s="5">
        <v>0.41382711980235298</v>
      </c>
      <c r="BT363" s="5">
        <v>-0.100825773160916</v>
      </c>
      <c r="BU363" s="5">
        <v>0.32450575576951102</v>
      </c>
      <c r="BV363" s="5">
        <v>-0.304778205337015</v>
      </c>
      <c r="BW363" s="5">
        <v>0.52926849555636102</v>
      </c>
      <c r="BX363" s="5">
        <v>-0.21393742034822699</v>
      </c>
      <c r="BY363" s="5">
        <v>0.431999558870791</v>
      </c>
      <c r="BZ363" s="5">
        <v>-0.29256254602547699</v>
      </c>
      <c r="CA363" s="5">
        <v>0.48867358757792401</v>
      </c>
      <c r="CB363" s="5">
        <v>-8.6400526938234204E-2</v>
      </c>
      <c r="CC363" s="5">
        <v>0.13349859114133</v>
      </c>
      <c r="CD363" s="5">
        <v>-0.27795257988087202</v>
      </c>
      <c r="CE363" s="5">
        <v>0.32863813843532202</v>
      </c>
      <c r="CF363" s="5">
        <v>-0.38850655402767598</v>
      </c>
      <c r="CG363" s="5">
        <v>0.456280381245178</v>
      </c>
      <c r="CH363" s="5">
        <v>0.123120840125055</v>
      </c>
      <c r="CI363" s="5">
        <v>-0.10412875097049699</v>
      </c>
      <c r="CJ363" s="5">
        <v>-1.0221511605015599E-2</v>
      </c>
      <c r="CK363" s="5">
        <v>1.0453997220070401E-2</v>
      </c>
      <c r="CL363" s="5">
        <v>-4.5724917700998097E-2</v>
      </c>
      <c r="CM363" s="5">
        <v>4.7620197449770099E-2</v>
      </c>
      <c r="CN363" s="5">
        <v>-2.6542477385750898E-2</v>
      </c>
      <c r="CO363" s="5">
        <v>1.8142018447398399E-2</v>
      </c>
      <c r="CP363" s="5">
        <v>-0.51174230171863699</v>
      </c>
      <c r="CQ363" s="5">
        <v>0.57903637011684095</v>
      </c>
      <c r="CR363" s="5">
        <v>-0.17760890405032401</v>
      </c>
      <c r="CS363" s="5">
        <v>0.244220955559246</v>
      </c>
      <c r="CT363" s="5">
        <v>-5.5555979631244298E-2</v>
      </c>
      <c r="CU363" s="5">
        <v>7.9844670005874502E-2</v>
      </c>
      <c r="CV363" s="5">
        <v>-8.8017472521197807E-2</v>
      </c>
      <c r="CW363" s="5">
        <v>0.179815938936919</v>
      </c>
      <c r="CX363" s="5">
        <v>3.1269410753582E-2</v>
      </c>
      <c r="CY363" s="5">
        <v>6.6236718376614295E-2</v>
      </c>
      <c r="CZ363" s="5">
        <v>-0.31880957443874097</v>
      </c>
      <c r="DA363" s="5">
        <v>0.45084557737144598</v>
      </c>
      <c r="DB363" s="5">
        <v>3.1668538503963298E-2</v>
      </c>
      <c r="DC363" s="5">
        <v>-7.6630704942803093E-2</v>
      </c>
      <c r="DD363" s="5">
        <v>-0.30489756557619002</v>
      </c>
      <c r="DE363" s="5">
        <v>0.41070716632739501</v>
      </c>
      <c r="DF363" s="5">
        <v>-0.38501657524814198</v>
      </c>
      <c r="DG363" s="5">
        <v>0.53277601869291802</v>
      </c>
      <c r="DH363" s="5">
        <v>-0.21003134066722801</v>
      </c>
      <c r="DI363" s="5">
        <v>0.28616855762402399</v>
      </c>
      <c r="DJ363" s="5">
        <v>-4.6423230993015298E-2</v>
      </c>
      <c r="DK363" s="5">
        <v>9.0722453120460303E-2</v>
      </c>
      <c r="DL363" s="5">
        <v>-0.47838366366567903</v>
      </c>
      <c r="DM363" s="5">
        <v>0.63745783622256802</v>
      </c>
      <c r="DN363" s="5">
        <v>-5.7147658048193797E-3</v>
      </c>
      <c r="DO363" s="5">
        <v>4.57657334531993E-2</v>
      </c>
      <c r="DP363" s="5">
        <v>0.21692298678970001</v>
      </c>
      <c r="DQ363" s="5">
        <v>-0.20397683109607601</v>
      </c>
      <c r="DR363" s="5">
        <v>-2.8477936831179902E-2</v>
      </c>
      <c r="DS363" s="5">
        <v>-2.6422993964983401E-3</v>
      </c>
      <c r="DT363" s="5">
        <v>-0.17965329652551501</v>
      </c>
      <c r="DU363" s="5">
        <v>0.228991333877852</v>
      </c>
      <c r="DV363" s="5">
        <v>-0.14047209646966899</v>
      </c>
      <c r="DW363" s="5">
        <v>0.32752915304243402</v>
      </c>
      <c r="DX363" s="5">
        <v>9.8458319461456306E-2</v>
      </c>
      <c r="DY363" s="5">
        <v>-0.129990002676588</v>
      </c>
      <c r="DZ363" s="5">
        <v>-0.13495160924253499</v>
      </c>
      <c r="EA363" s="5">
        <v>0.13900753938395799</v>
      </c>
      <c r="EB363" s="5">
        <v>-0.210958531036506</v>
      </c>
      <c r="EC363" s="5">
        <v>0.39723158098103001</v>
      </c>
      <c r="ED363" s="5">
        <v>-0.25037602351209098</v>
      </c>
      <c r="EE363" s="5">
        <v>0.452447488279278</v>
      </c>
      <c r="EF363" s="5">
        <v>-0.207334910057698</v>
      </c>
      <c r="EG363" s="5">
        <v>0.26686380646011598</v>
      </c>
      <c r="EH363" s="5">
        <v>-0.34380811819005802</v>
      </c>
      <c r="EI363" s="5">
        <v>0.47172047019451202</v>
      </c>
      <c r="EJ363" s="5">
        <v>-0.31959277353255999</v>
      </c>
      <c r="EK363" s="5">
        <v>0.45114160963633698</v>
      </c>
      <c r="EL363" s="5">
        <v>-0.24733693027534001</v>
      </c>
      <c r="EM363" s="5">
        <v>0.45585317541339199</v>
      </c>
      <c r="EN363" s="5">
        <v>0.108797332256643</v>
      </c>
      <c r="EO363" s="5">
        <v>-0.170295580353614</v>
      </c>
      <c r="EP363" s="5">
        <v>-0.15914956409869399</v>
      </c>
      <c r="EQ363" s="5">
        <v>0.217654988481812</v>
      </c>
      <c r="ER363" s="5">
        <v>-0.103158185741114</v>
      </c>
      <c r="ES363" s="5">
        <v>0.21383707746776001</v>
      </c>
      <c r="ET363" s="5">
        <v>-0.212729983470613</v>
      </c>
      <c r="EU363" s="5">
        <v>0.35406884658937099</v>
      </c>
      <c r="EV363" s="5">
        <v>-0.233449761267263</v>
      </c>
      <c r="EW363" s="5">
        <v>0.35916577540163402</v>
      </c>
      <c r="EX363" s="5">
        <v>-0.12999292529325801</v>
      </c>
      <c r="EY363" s="5">
        <v>0.23408250133287301</v>
      </c>
      <c r="EZ363" s="5">
        <v>-0.11493065112577899</v>
      </c>
      <c r="FA363" s="5">
        <v>0.247278417368614</v>
      </c>
      <c r="FB363" s="5">
        <v>-0.11695157624531501</v>
      </c>
      <c r="FC363" s="5">
        <v>0.10445310832857201</v>
      </c>
      <c r="FD363" s="5">
        <v>-9.9071424567107894E-2</v>
      </c>
      <c r="FE363" s="5">
        <v>0.19751928993092199</v>
      </c>
      <c r="FF363" s="5">
        <v>-0.11692784963227</v>
      </c>
      <c r="FG363" s="5">
        <v>0.10451127474121701</v>
      </c>
      <c r="FH363" s="5">
        <v>0.18188461748721399</v>
      </c>
      <c r="FI363" s="5">
        <v>-0.168214019852166</v>
      </c>
      <c r="FJ363" s="5">
        <v>-0.20001843880046999</v>
      </c>
      <c r="FK363" s="5">
        <v>0.30630580342257702</v>
      </c>
      <c r="FL363" s="5">
        <v>0.126566671121807</v>
      </c>
      <c r="FM363" s="5">
        <v>-0.16758946923713899</v>
      </c>
      <c r="FN363" s="5">
        <v>-0.19301892628841599</v>
      </c>
      <c r="FO363" s="5">
        <v>0.25262922777350599</v>
      </c>
      <c r="FP363" s="5">
        <v>-9.1806106970652598E-2</v>
      </c>
      <c r="FQ363" s="5">
        <v>7.7322193837479902E-2</v>
      </c>
      <c r="FR363" s="5">
        <v>0.361050087109412</v>
      </c>
      <c r="FS363" s="5">
        <v>-0.404093179094621</v>
      </c>
      <c r="FT363" s="5">
        <v>-8.1835021683576994E-2</v>
      </c>
      <c r="FU363" s="5">
        <v>7.0977516618560096E-2</v>
      </c>
      <c r="FV363" s="5">
        <v>-8.9405792020999603E-2</v>
      </c>
      <c r="FW363" s="5">
        <v>9.2178611820631307E-2</v>
      </c>
      <c r="FX363" s="5">
        <v>-0.19573782930609501</v>
      </c>
      <c r="FY363" s="5">
        <v>0.25700727154369402</v>
      </c>
      <c r="FZ363" s="5">
        <v>-0.125386988264579</v>
      </c>
      <c r="GA363" s="5">
        <v>0.12673728516784699</v>
      </c>
      <c r="GB363" s="5">
        <v>-0.150906254201643</v>
      </c>
      <c r="GC363" s="5">
        <v>0.18115221684303001</v>
      </c>
      <c r="GD363" s="5">
        <v>4.7544330940370701E-2</v>
      </c>
      <c r="GE363" s="5">
        <v>-6.6452561164940305E-2</v>
      </c>
      <c r="GF363" s="5">
        <v>-0.48573573520805902</v>
      </c>
      <c r="GG363" s="5">
        <v>0.70867377697270095</v>
      </c>
      <c r="GH363" s="5">
        <v>0.28653261158627003</v>
      </c>
      <c r="GI363" s="5">
        <v>-0.44215398520681398</v>
      </c>
      <c r="GJ363" s="5">
        <v>-6.5604035208621805E-2</v>
      </c>
      <c r="GK363" s="5">
        <v>0.17953363493729099</v>
      </c>
      <c r="GL363" s="5">
        <v>-0.17462773993515801</v>
      </c>
      <c r="GM363" s="5">
        <v>0.24159868792362801</v>
      </c>
      <c r="GN363" s="5">
        <v>-7.5674927210291301E-2</v>
      </c>
      <c r="GO363" s="5">
        <v>9.1023539259203201E-2</v>
      </c>
      <c r="GP363" s="5">
        <v>-0.192270784995767</v>
      </c>
      <c r="GQ363" s="5">
        <v>0.21222910464407099</v>
      </c>
      <c r="GR363" s="5">
        <v>-0.110617862431582</v>
      </c>
      <c r="GS363" s="5">
        <v>0.219837252148472</v>
      </c>
      <c r="GT363" s="5">
        <v>-0.133184681973152</v>
      </c>
      <c r="GU363" s="5">
        <v>9.5643947721712405E-2</v>
      </c>
      <c r="GV363" s="5">
        <v>-0.100138090703232</v>
      </c>
      <c r="GW363" s="5">
        <v>0.32137294727232002</v>
      </c>
      <c r="GX363" s="5">
        <v>0.18823107528855201</v>
      </c>
      <c r="GY363" s="5">
        <v>-0.19624472026336301</v>
      </c>
      <c r="GZ363" s="5">
        <v>-4.8063011704672698E-2</v>
      </c>
      <c r="HA363" s="5">
        <v>2.4591790690622398E-2</v>
      </c>
      <c r="HB363" s="5">
        <v>-0.18864469762937</v>
      </c>
      <c r="HC363" s="5">
        <v>0.39776539861251597</v>
      </c>
      <c r="HD363" s="5">
        <v>-0.10987738712487199</v>
      </c>
      <c r="HE363" s="5">
        <v>0.14468341505375801</v>
      </c>
      <c r="HF363" s="5">
        <v>-4.8154317355749598E-2</v>
      </c>
      <c r="HG363" s="5">
        <v>8.2492748750533001E-2</v>
      </c>
      <c r="HH363" s="5">
        <v>7.1286139985464805E-4</v>
      </c>
      <c r="HI363" s="5">
        <v>-2.63305878562923E-2</v>
      </c>
      <c r="HJ363" s="5">
        <v>-5.9444167833665698E-2</v>
      </c>
      <c r="HK363" s="5">
        <v>0.102624391764065</v>
      </c>
      <c r="HL363" s="5">
        <v>-0.35938781693812299</v>
      </c>
      <c r="HM363" s="5">
        <v>0.51536027519643601</v>
      </c>
      <c r="HN363" s="5">
        <v>-0.155581973012488</v>
      </c>
      <c r="HO363" s="5">
        <v>0.14715265568410599</v>
      </c>
      <c r="HP363" s="5">
        <v>4.2217768722141898E-2</v>
      </c>
      <c r="HQ363" s="5">
        <v>9.7304285869413407E-2</v>
      </c>
      <c r="HR363" s="5">
        <v>-6.2739100422963795E-2</v>
      </c>
      <c r="HS363" s="5">
        <v>0.17198595009645501</v>
      </c>
      <c r="HT363" s="5">
        <v>-0.12085334272793199</v>
      </c>
      <c r="HU363" s="5">
        <v>9.2561477059455499E-2</v>
      </c>
      <c r="HV363" s="5">
        <v>-4.4281303307471603E-3</v>
      </c>
      <c r="HW363" s="5">
        <v>0.149713041579253</v>
      </c>
      <c r="HX363" s="5">
        <v>-1.7619280981326001E-2</v>
      </c>
      <c r="HY363" s="5">
        <v>0.19529341809193901</v>
      </c>
      <c r="HZ363" s="5">
        <v>-0.18490891351879299</v>
      </c>
      <c r="IA363" s="5">
        <v>0.17424485605842799</v>
      </c>
      <c r="IB363" s="5">
        <v>1.3688867302056099E-2</v>
      </c>
      <c r="IC363" s="5">
        <v>-7.4051204863016695E-2</v>
      </c>
      <c r="ID363" s="5">
        <v>-0.16662221778066799</v>
      </c>
      <c r="IE363" s="5">
        <v>0.34901570176804497</v>
      </c>
      <c r="IF363" s="5">
        <v>-0.106825429207898</v>
      </c>
      <c r="IG363" s="5">
        <v>0.262077711310295</v>
      </c>
      <c r="IH363" s="5">
        <v>-0.23307841079743999</v>
      </c>
      <c r="II363" s="5">
        <v>0.30060136914334401</v>
      </c>
      <c r="IJ363" s="5">
        <v>8.0006691058160995E-2</v>
      </c>
      <c r="IK363" s="5">
        <v>-8.9142314088873006E-2</v>
      </c>
      <c r="IL363" s="5">
        <v>-0.30042345608561399</v>
      </c>
      <c r="IM363" s="5">
        <v>0.52001258093787694</v>
      </c>
      <c r="IN363" s="5">
        <v>-4.7122935012080099E-2</v>
      </c>
      <c r="IO363" s="5">
        <v>0.20821517727000499</v>
      </c>
      <c r="IP363" s="5">
        <v>-0.1839194821365</v>
      </c>
      <c r="IQ363" s="5">
        <v>0.34680258870243602</v>
      </c>
      <c r="IR363" s="5">
        <v>0.21157294776249999</v>
      </c>
      <c r="IS363" s="5">
        <v>-0.232247702433347</v>
      </c>
      <c r="IT363" s="5">
        <v>8.6358245076713594E-2</v>
      </c>
      <c r="IU363" s="5">
        <v>1.66804741561896E-2</v>
      </c>
      <c r="IV363" s="5">
        <v>-8.4848229650441604E-3</v>
      </c>
      <c r="IW363" s="5">
        <v>0.18888095193798499</v>
      </c>
      <c r="IX363" s="5">
        <v>-0.21796652778675801</v>
      </c>
      <c r="IY363" s="5">
        <v>0.362116898584808</v>
      </c>
      <c r="IZ363" s="5">
        <v>-9.9476709113176295E-3</v>
      </c>
      <c r="JA363" s="5">
        <v>-2.2681073089111802E-3</v>
      </c>
      <c r="JB363" s="5">
        <v>-6.4618128472624894E-2</v>
      </c>
      <c r="JC363" s="5">
        <v>0.11743849059993799</v>
      </c>
      <c r="JD363" s="5">
        <v>-0.108824994419674</v>
      </c>
      <c r="JE363" s="5">
        <v>0.164750271139885</v>
      </c>
      <c r="JF363" s="5">
        <v>-5.0531317544824303E-2</v>
      </c>
      <c r="JG363" s="5">
        <v>0.132358229265267</v>
      </c>
      <c r="JH363" s="5">
        <v>-0.14546403904476701</v>
      </c>
      <c r="JI363" s="5">
        <v>0.18921638675556801</v>
      </c>
      <c r="JJ363" s="5">
        <v>-0.32480392977657502</v>
      </c>
      <c r="JK363" s="5">
        <v>0.495282572479121</v>
      </c>
      <c r="JL363" s="5">
        <v>-0.30414092334653597</v>
      </c>
      <c r="JM363" s="5">
        <v>0.40631574823310301</v>
      </c>
      <c r="JN363" s="5">
        <v>-0.23973953871665801</v>
      </c>
      <c r="JO363" s="5">
        <v>0.31173502749760501</v>
      </c>
      <c r="JP363" s="5">
        <v>-0.28240180539924298</v>
      </c>
      <c r="JQ363" s="5">
        <v>0.47130352339911202</v>
      </c>
      <c r="JR363" s="5">
        <v>0.24297563464607799</v>
      </c>
      <c r="JS363" s="5">
        <v>-0.20271692210400999</v>
      </c>
      <c r="JT363" s="5">
        <v>0.16567096085976901</v>
      </c>
      <c r="JU363" s="5">
        <v>-0.109052754523442</v>
      </c>
      <c r="JV363" s="5">
        <v>9.3718332090404602E-2</v>
      </c>
      <c r="JW363" s="5">
        <v>3.3881462914243398E-3</v>
      </c>
      <c r="JX363" s="5">
        <v>-6.4113885775596499E-2</v>
      </c>
      <c r="JY363" s="5">
        <v>7.0306584822013393E-2</v>
      </c>
      <c r="JZ363" s="5">
        <v>-0.159683114885769</v>
      </c>
      <c r="KA363" s="5">
        <v>0.196740374443126</v>
      </c>
      <c r="KB363" s="5">
        <v>-0.14356865103234201</v>
      </c>
      <c r="KC363" s="5">
        <v>0.14538735892294999</v>
      </c>
      <c r="KD363" s="5">
        <v>-0.32268989670875498</v>
      </c>
      <c r="KE363" s="5">
        <v>0.41402017894040799</v>
      </c>
      <c r="KF363" s="5">
        <v>7.5472730032267496E-2</v>
      </c>
      <c r="KG363" s="5">
        <v>-0.115400277817828</v>
      </c>
      <c r="KH363" s="5">
        <v>-7.6069909073372993E-2</v>
      </c>
      <c r="KI363" s="5">
        <v>5.5437684184424803E-2</v>
      </c>
      <c r="KJ363" s="5">
        <v>-0.28189686972053801</v>
      </c>
      <c r="KK363" s="5">
        <v>0.37494580502339903</v>
      </c>
      <c r="KL363" s="5">
        <v>0.17122221049039099</v>
      </c>
      <c r="KM363" s="5">
        <v>-0.20393963189834999</v>
      </c>
      <c r="KN363" s="5">
        <v>-0.16120496561176501</v>
      </c>
      <c r="KO363" s="5">
        <v>0.15309063861873001</v>
      </c>
      <c r="KP363" s="5">
        <v>0.112076628913542</v>
      </c>
      <c r="KQ363" s="5">
        <v>-0.116613037798209</v>
      </c>
      <c r="KR363" s="5">
        <v>-0.39431169767598001</v>
      </c>
      <c r="KS363" s="5">
        <v>0.58894280132795496</v>
      </c>
      <c r="KT363" s="5">
        <v>-0.298033002962384</v>
      </c>
      <c r="KU363" s="5">
        <v>0.437373798659206</v>
      </c>
      <c r="KV363" s="5">
        <v>-0.255092152550286</v>
      </c>
      <c r="KW363" s="5">
        <v>0.38639776143777199</v>
      </c>
      <c r="KX363" s="5">
        <v>-0.29341586697928201</v>
      </c>
      <c r="KY363" s="5">
        <v>0.43088904586563098</v>
      </c>
      <c r="KZ363" s="5">
        <v>-3.9252830835116798E-2</v>
      </c>
      <c r="LA363" s="5">
        <v>0.14389136264018401</v>
      </c>
      <c r="LB363" s="5">
        <v>-0.327429479024818</v>
      </c>
      <c r="LC363" s="5">
        <v>0.51596501613159396</v>
      </c>
      <c r="LD363" s="5">
        <v>-0.10967815826010199</v>
      </c>
      <c r="LE363" s="5">
        <v>0.22031650665986499</v>
      </c>
      <c r="LF363" s="5">
        <v>-9.6348568749804506E-2</v>
      </c>
      <c r="LG363" s="5">
        <v>9.0632265354813904E-2</v>
      </c>
      <c r="LH363" s="5">
        <v>-0.434638520908324</v>
      </c>
      <c r="LI363" s="5">
        <v>0.62354285972208801</v>
      </c>
      <c r="LJ363" s="5">
        <v>-0.129594959037486</v>
      </c>
      <c r="LK363" s="5">
        <v>0.107251671547428</v>
      </c>
      <c r="LL363" s="5">
        <v>-0.32486247638198201</v>
      </c>
      <c r="LM363" s="5">
        <v>0.48763334379942702</v>
      </c>
      <c r="LN363" s="5">
        <v>-0.19636073438762</v>
      </c>
      <c r="LO363" s="5">
        <v>0.33901029300494401</v>
      </c>
      <c r="LP363" s="5">
        <v>-0.17083931031723501</v>
      </c>
      <c r="LQ363" s="5">
        <v>0.32892348305473901</v>
      </c>
      <c r="LR363" s="5">
        <v>-9.5138784901538598E-2</v>
      </c>
      <c r="LS363" s="5">
        <v>9.5687260442678695E-2</v>
      </c>
      <c r="LT363" s="5">
        <v>-9.62744048609461E-2</v>
      </c>
      <c r="LU363" s="5">
        <v>8.1973979840269495E-2</v>
      </c>
      <c r="LV363" s="5">
        <v>-9.2141001813815501E-2</v>
      </c>
      <c r="LW363" s="5">
        <v>0.14292280647017899</v>
      </c>
      <c r="LX363" s="5">
        <v>-0.117268348635006</v>
      </c>
      <c r="LY363" s="5">
        <v>0.10099775344161301</v>
      </c>
      <c r="LZ363" s="5">
        <v>-0.118616395121882</v>
      </c>
      <c r="MA363" s="5">
        <v>0.256184543456009</v>
      </c>
      <c r="MB363" s="5">
        <v>-0.105321502347535</v>
      </c>
      <c r="MC363" s="5">
        <v>0.30771786514554</v>
      </c>
      <c r="MD363" s="5">
        <v>-2.9199152574368299E-2</v>
      </c>
      <c r="ME363" s="5">
        <v>0.13809229682274299</v>
      </c>
      <c r="MF363" s="5">
        <v>0.29129971357707202</v>
      </c>
      <c r="MG363" s="5">
        <v>-0.43232097626459798</v>
      </c>
      <c r="MH363" s="5">
        <v>-0.16034404093221</v>
      </c>
      <c r="MI363" s="5">
        <v>0.20506063845473699</v>
      </c>
      <c r="MJ363" s="5">
        <v>0.37180232203832803</v>
      </c>
      <c r="MK363" s="5">
        <v>-0.41675504018905002</v>
      </c>
      <c r="ML363" s="5">
        <v>1.9170868947863299E-2</v>
      </c>
      <c r="MM363" s="5">
        <v>2.2175913224925702E-2</v>
      </c>
      <c r="MN363" s="5">
        <v>-0.26703249293030701</v>
      </c>
      <c r="MO363" s="5">
        <v>0.31058349141144398</v>
      </c>
      <c r="MP363" s="5">
        <v>0.10517668463645199</v>
      </c>
      <c r="MQ363" s="5">
        <v>-6.1696024095332098E-2</v>
      </c>
      <c r="MR363" s="5">
        <v>-0.106587838918604</v>
      </c>
      <c r="MS363" s="5">
        <v>6.8713408891376102E-2</v>
      </c>
      <c r="MT363" s="5">
        <v>-2.9003538826600998E-2</v>
      </c>
      <c r="MU363" s="5">
        <v>7.1726649905924506E-2</v>
      </c>
      <c r="MV363" s="5">
        <v>8.3959782842926697E-2</v>
      </c>
      <c r="MW363" s="5">
        <v>-6.0189888638521601E-2</v>
      </c>
      <c r="MX363" s="5">
        <v>-0.72130285625358803</v>
      </c>
      <c r="MY363" s="5">
        <v>1</v>
      </c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</row>
    <row r="364" spans="1:389" x14ac:dyDescent="0.45">
      <c r="A364" s="4" t="str">
        <f ca="1">"UGA / beta1dist in "&amp;CELL("address",'damages-1990'!$J$183)</f>
        <v>UGA / beta1dist in '[BHM betas v3pd.xlsx]damages-1990'!$J$183</v>
      </c>
      <c r="B364" s="6">
        <v>0.16816868948553099</v>
      </c>
      <c r="C364" s="5">
        <v>0.18362200861862801</v>
      </c>
      <c r="D364" s="5">
        <v>0.61150520804632402</v>
      </c>
      <c r="E364" s="5">
        <v>-0.36513534254263602</v>
      </c>
      <c r="F364" s="5">
        <v>0.20463356370407701</v>
      </c>
      <c r="G364" s="5">
        <v>-7.3882629239984201E-4</v>
      </c>
      <c r="H364" s="5">
        <v>-1.01635291253228E-2</v>
      </c>
      <c r="I364" s="5">
        <v>-6.4330149873334198E-3</v>
      </c>
      <c r="J364" s="5">
        <v>0.50977906895257097</v>
      </c>
      <c r="K364" s="5">
        <v>-0.22778612818646299</v>
      </c>
      <c r="L364" s="5">
        <v>0.24255607487848099</v>
      </c>
      <c r="M364" s="5">
        <v>0.100078639677649</v>
      </c>
      <c r="N364" s="5">
        <v>0.107533818658105</v>
      </c>
      <c r="O364" s="5">
        <v>-0.15600865138724901</v>
      </c>
      <c r="P364" s="5">
        <v>0.42417162576785999</v>
      </c>
      <c r="Q364" s="5">
        <v>-0.25986472383572001</v>
      </c>
      <c r="R364" s="5">
        <v>0.50695599046588802</v>
      </c>
      <c r="S364" s="5">
        <v>-0.28634980735509202</v>
      </c>
      <c r="T364" s="5">
        <v>0.119338108268639</v>
      </c>
      <c r="U364" s="5">
        <v>-0.14504590755513799</v>
      </c>
      <c r="V364" s="5">
        <v>0.18241206854577599</v>
      </c>
      <c r="W364" s="5">
        <v>0.18037222348385701</v>
      </c>
      <c r="X364" s="5">
        <v>0.70835798442020503</v>
      </c>
      <c r="Y364" s="5">
        <v>-0.46549823141722302</v>
      </c>
      <c r="Z364" s="5">
        <v>9.9417373433958706E-2</v>
      </c>
      <c r="AA364" s="5">
        <v>-1.80800328225111E-2</v>
      </c>
      <c r="AB364" s="5">
        <v>0.473846817604684</v>
      </c>
      <c r="AC364" s="5">
        <v>-0.270106949460589</v>
      </c>
      <c r="AD364" s="5">
        <v>0.468107538329044</v>
      </c>
      <c r="AE364" s="5">
        <v>-0.225779500614463</v>
      </c>
      <c r="AF364" s="5">
        <v>0.20148020703220401</v>
      </c>
      <c r="AG364" s="5">
        <v>2.2615643234088399E-2</v>
      </c>
      <c r="AH364" s="5">
        <v>0.19828756090128299</v>
      </c>
      <c r="AI364" s="5">
        <v>-4.8880889031286602E-2</v>
      </c>
      <c r="AJ364" s="5">
        <v>0.48179228713671401</v>
      </c>
      <c r="AK364" s="5">
        <v>-0.163929786185812</v>
      </c>
      <c r="AL364" s="5">
        <v>0.36837376255416199</v>
      </c>
      <c r="AM364" s="5">
        <v>-0.23143291196509899</v>
      </c>
      <c r="AN364" s="5">
        <v>0.20381596714754699</v>
      </c>
      <c r="AO364" s="5">
        <v>-0.14758654773070201</v>
      </c>
      <c r="AP364" s="5">
        <v>-9.7689915852079395E-2</v>
      </c>
      <c r="AQ364" s="5">
        <v>9.6047548510329997E-2</v>
      </c>
      <c r="AR364" s="5">
        <v>0.48501608250968198</v>
      </c>
      <c r="AS364" s="5">
        <v>-0.284780433960515</v>
      </c>
      <c r="AT364" s="5">
        <v>9.5292018310112095E-2</v>
      </c>
      <c r="AU364" s="5">
        <v>0.147959945068666</v>
      </c>
      <c r="AV364" s="5">
        <v>0.49250178108258602</v>
      </c>
      <c r="AW364" s="5">
        <v>-0.25060266754531002</v>
      </c>
      <c r="AX364" s="5">
        <v>0.62674749762184601</v>
      </c>
      <c r="AY364" s="5">
        <v>-0.47000600548550198</v>
      </c>
      <c r="AZ364" s="5">
        <v>0.42663183403215299</v>
      </c>
      <c r="BA364" s="5">
        <v>-0.255882826414983</v>
      </c>
      <c r="BB364" s="5">
        <v>0.49907284008952502</v>
      </c>
      <c r="BC364" s="5">
        <v>-0.21782492769216899</v>
      </c>
      <c r="BD364" s="5">
        <v>4.7237972388516E-2</v>
      </c>
      <c r="BE364" s="5">
        <v>0.283584074694677</v>
      </c>
      <c r="BF364" s="5">
        <v>0.40430822154009699</v>
      </c>
      <c r="BG364" s="5">
        <v>-0.1643361041586</v>
      </c>
      <c r="BH364" s="5">
        <v>0.66290864809633399</v>
      </c>
      <c r="BI364" s="5">
        <v>-0.423082985854564</v>
      </c>
      <c r="BJ364" s="5">
        <v>-0.24587400080695701</v>
      </c>
      <c r="BK364" s="5">
        <v>0.193620855923645</v>
      </c>
      <c r="BL364" s="5">
        <v>0.13896994482993699</v>
      </c>
      <c r="BM364" s="5">
        <v>-0.18794902855483001</v>
      </c>
      <c r="BN364" s="5">
        <v>-5.1575458773048102E-2</v>
      </c>
      <c r="BO364" s="5">
        <v>0.16175503695468299</v>
      </c>
      <c r="BP364" s="5">
        <v>-0.111354716537076</v>
      </c>
      <c r="BQ364" s="5">
        <v>0.26455201847312598</v>
      </c>
      <c r="BR364" s="5">
        <v>0.62668758775995304</v>
      </c>
      <c r="BS364" s="5">
        <v>-0.40782694117051099</v>
      </c>
      <c r="BT364" s="5">
        <v>0.616304144600473</v>
      </c>
      <c r="BU364" s="5">
        <v>-0.39061225876819899</v>
      </c>
      <c r="BV364" s="5">
        <v>0.70813928423799699</v>
      </c>
      <c r="BW364" s="5">
        <v>-0.489984021180771</v>
      </c>
      <c r="BX364" s="5">
        <v>0.59548393884865003</v>
      </c>
      <c r="BY364" s="5">
        <v>-0.41546639513350198</v>
      </c>
      <c r="BZ364" s="5">
        <v>0.67111684001528504</v>
      </c>
      <c r="CA364" s="5">
        <v>-0.50368150387645505</v>
      </c>
      <c r="CB364" s="5">
        <v>0.48710932010276797</v>
      </c>
      <c r="CC364" s="5">
        <v>-0.33768907898051698</v>
      </c>
      <c r="CD364" s="5">
        <v>0.23323627136514199</v>
      </c>
      <c r="CE364" s="5">
        <v>-4.6546124036450601E-2</v>
      </c>
      <c r="CF364" s="5">
        <v>0.58601470653510102</v>
      </c>
      <c r="CG364" s="5">
        <v>-0.40115385485959099</v>
      </c>
      <c r="CH364" s="5">
        <v>0.41335427516342998</v>
      </c>
      <c r="CI364" s="5">
        <v>-0.29548390437107602</v>
      </c>
      <c r="CJ364" s="5">
        <v>0.160801706369122</v>
      </c>
      <c r="CK364" s="5">
        <v>7.0223985827200894E-2</v>
      </c>
      <c r="CL364" s="5">
        <v>0.11895809983453801</v>
      </c>
      <c r="CM364" s="5">
        <v>-0.102490612510215</v>
      </c>
      <c r="CN364" s="5">
        <v>0.112205406357108</v>
      </c>
      <c r="CO364" s="5">
        <v>-7.0156109029098496E-2</v>
      </c>
      <c r="CP364" s="5">
        <v>0.45881023368440799</v>
      </c>
      <c r="CQ364" s="5">
        <v>-0.241754359099873</v>
      </c>
      <c r="CR364" s="5">
        <v>0.47755727112743801</v>
      </c>
      <c r="CS364" s="5">
        <v>-0.293413655004996</v>
      </c>
      <c r="CT364" s="5">
        <v>0.105547972512146</v>
      </c>
      <c r="CU364" s="5">
        <v>-0.101017100967165</v>
      </c>
      <c r="CV364" s="5">
        <v>0.510165698689928</v>
      </c>
      <c r="CW364" s="5">
        <v>-0.32827412458091099</v>
      </c>
      <c r="CX364" s="5">
        <v>0.27762548080088501</v>
      </c>
      <c r="CY364" s="5">
        <v>3.0193759687765699E-2</v>
      </c>
      <c r="CZ364" s="5">
        <v>0.70011675005373197</v>
      </c>
      <c r="DA364" s="5">
        <v>-0.53454351083546803</v>
      </c>
      <c r="DB364" s="5">
        <v>0.235172174459259</v>
      </c>
      <c r="DC364" s="5">
        <v>0.199119166620082</v>
      </c>
      <c r="DD364" s="5">
        <v>0.37333433816838402</v>
      </c>
      <c r="DE364" s="5">
        <v>-0.115553981888651</v>
      </c>
      <c r="DF364" s="5">
        <v>0.43943790680405398</v>
      </c>
      <c r="DG364" s="5">
        <v>-0.20557216447625401</v>
      </c>
      <c r="DH364" s="5">
        <v>0.29312138773268998</v>
      </c>
      <c r="DI364" s="5">
        <v>-8.4191564175649505E-2</v>
      </c>
      <c r="DJ364" s="5">
        <v>-0.145435724981648</v>
      </c>
      <c r="DK364" s="5">
        <v>0.107969029091846</v>
      </c>
      <c r="DL364" s="5">
        <v>0.67331703044430802</v>
      </c>
      <c r="DM364" s="5">
        <v>-0.38144117323767901</v>
      </c>
      <c r="DN364" s="5">
        <v>-0.21742627923191299</v>
      </c>
      <c r="DO364" s="5">
        <v>0.12342829775349</v>
      </c>
      <c r="DP364" s="5">
        <v>0.124306176849509</v>
      </c>
      <c r="DQ364" s="5">
        <v>0.16191861143842001</v>
      </c>
      <c r="DR364" s="5">
        <v>0.16384139830296601</v>
      </c>
      <c r="DS364" s="5">
        <v>-2.0503707888558501E-2</v>
      </c>
      <c r="DT364" s="5">
        <v>0.26092846674905201</v>
      </c>
      <c r="DU364" s="5">
        <v>-9.9853691752111201E-2</v>
      </c>
      <c r="DV364" s="5">
        <v>0.52582229791933899</v>
      </c>
      <c r="DW364" s="5">
        <v>-0.35896147038426302</v>
      </c>
      <c r="DX364" s="5">
        <v>-0.11284269670686101</v>
      </c>
      <c r="DY364" s="5">
        <v>0.19536344839046299</v>
      </c>
      <c r="DZ364" s="5">
        <v>6.3640180309796499E-2</v>
      </c>
      <c r="EA364" s="5">
        <v>-9.3256999478482899E-2</v>
      </c>
      <c r="EB364" s="5">
        <v>0.59431261725246098</v>
      </c>
      <c r="EC364" s="5">
        <v>-0.36379736332211199</v>
      </c>
      <c r="ED364" s="5">
        <v>0.62021923930949896</v>
      </c>
      <c r="EE364" s="5">
        <v>-0.381734825660557</v>
      </c>
      <c r="EF364" s="5">
        <v>0.46513751606016301</v>
      </c>
      <c r="EG364" s="5">
        <v>-0.29036409594173301</v>
      </c>
      <c r="EH364" s="5">
        <v>0.56895230989281498</v>
      </c>
      <c r="EI364" s="5">
        <v>-0.26568810646548802</v>
      </c>
      <c r="EJ364" s="5">
        <v>0.568247123247134</v>
      </c>
      <c r="EK364" s="5">
        <v>-0.28275894317634798</v>
      </c>
      <c r="EL364" s="5">
        <v>0.72200085231355604</v>
      </c>
      <c r="EM364" s="5">
        <v>-0.52569678442719503</v>
      </c>
      <c r="EN364" s="5">
        <v>0.12379834795582401</v>
      </c>
      <c r="EO364" s="5">
        <v>0.14030274232728299</v>
      </c>
      <c r="EP364" s="5">
        <v>0.46346532096113002</v>
      </c>
      <c r="EQ364" s="5">
        <v>-0.29142320786332698</v>
      </c>
      <c r="ER364" s="5">
        <v>0.526315428939652</v>
      </c>
      <c r="ES364" s="5">
        <v>-0.33210994509970698</v>
      </c>
      <c r="ET364" s="5">
        <v>0.49305343319416101</v>
      </c>
      <c r="EU364" s="5">
        <v>-0.34863773375724799</v>
      </c>
      <c r="EV364" s="5">
        <v>0.53345967018365903</v>
      </c>
      <c r="EW364" s="5">
        <v>-0.39616930575679299</v>
      </c>
      <c r="EX364" s="5">
        <v>0.25800830356962401</v>
      </c>
      <c r="EY364" s="5">
        <v>-7.6455009408782401E-2</v>
      </c>
      <c r="EZ364" s="5">
        <v>0.48698701791065302</v>
      </c>
      <c r="FA364" s="5">
        <v>-0.271278129559124</v>
      </c>
      <c r="FB364" s="5">
        <v>0.230352283233308</v>
      </c>
      <c r="FC364" s="5">
        <v>-8.2478149483299498E-2</v>
      </c>
      <c r="FD364" s="5">
        <v>0.57953272339457695</v>
      </c>
      <c r="FE364" s="5">
        <v>-0.40931333855204899</v>
      </c>
      <c r="FF364" s="5">
        <v>0.19172784587713099</v>
      </c>
      <c r="FG364" s="5">
        <v>-7.2341860601989202E-2</v>
      </c>
      <c r="FH364" s="5">
        <v>0.385618361709478</v>
      </c>
      <c r="FI364" s="5">
        <v>-8.9431936887679295E-2</v>
      </c>
      <c r="FJ364" s="5">
        <v>0.36059526911336398</v>
      </c>
      <c r="FK364" s="5">
        <v>-3.4445353921410501E-2</v>
      </c>
      <c r="FL364" s="5">
        <v>-0.233730562819528</v>
      </c>
      <c r="FM364" s="5">
        <v>0.35131612458752098</v>
      </c>
      <c r="FN364" s="5">
        <v>0.25131142334617101</v>
      </c>
      <c r="FO364" s="5">
        <v>0.105142099215419</v>
      </c>
      <c r="FP364" s="5">
        <v>0.33024441230582502</v>
      </c>
      <c r="FQ364" s="5">
        <v>5.0829483227618599E-2</v>
      </c>
      <c r="FR364" s="5">
        <v>-0.20723995830366301</v>
      </c>
      <c r="FS364" s="5">
        <v>0.199234073980219</v>
      </c>
      <c r="FT364" s="5">
        <v>0.25663578774061502</v>
      </c>
      <c r="FU364" s="5">
        <v>0.134047323799865</v>
      </c>
      <c r="FV364" s="5">
        <v>0.23036822328897</v>
      </c>
      <c r="FW364" s="5">
        <v>7.5369713529081805E-4</v>
      </c>
      <c r="FX364" s="5">
        <v>0.62251727115258104</v>
      </c>
      <c r="FY364" s="5">
        <v>-0.46808955839515998</v>
      </c>
      <c r="FZ364" s="5">
        <v>0.33166880638556301</v>
      </c>
      <c r="GA364" s="5">
        <v>8.0599520209360606E-2</v>
      </c>
      <c r="GB364" s="5">
        <v>0.15706751255207099</v>
      </c>
      <c r="GC364" s="5">
        <v>4.6518057010868703E-2</v>
      </c>
      <c r="GD364" s="5">
        <v>-0.13559903268471499</v>
      </c>
      <c r="GE364" s="5">
        <v>0.18624060665551101</v>
      </c>
      <c r="GF364" s="5">
        <v>0.68324665219120695</v>
      </c>
      <c r="GG364" s="5">
        <v>-0.43904225149061199</v>
      </c>
      <c r="GH364" s="5">
        <v>-0.22635485325451099</v>
      </c>
      <c r="GI364" s="5">
        <v>0.21992300267831899</v>
      </c>
      <c r="GJ364" s="5">
        <v>0.43800962862963799</v>
      </c>
      <c r="GK364" s="5">
        <v>-0.28397534953138098</v>
      </c>
      <c r="GL364" s="5">
        <v>0.41182092504781198</v>
      </c>
      <c r="GM364" s="5">
        <v>-0.23876016821350199</v>
      </c>
      <c r="GN364" s="5">
        <v>0.170755830038197</v>
      </c>
      <c r="GO364" s="5">
        <v>5.8786975981989703E-2</v>
      </c>
      <c r="GP364" s="5">
        <v>0.37521271035453102</v>
      </c>
      <c r="GQ364" s="5">
        <v>-1.83403316615629E-2</v>
      </c>
      <c r="GR364" s="5">
        <v>0.46638649898310502</v>
      </c>
      <c r="GS364" s="5">
        <v>-0.29581075844891902</v>
      </c>
      <c r="GT364" s="5">
        <v>0.25827123471736901</v>
      </c>
      <c r="GU364" s="5">
        <v>9.1981649440113403E-2</v>
      </c>
      <c r="GV364" s="5">
        <v>0.60436002799979305</v>
      </c>
      <c r="GW364" s="5">
        <v>-0.475392783078603</v>
      </c>
      <c r="GX364" s="5">
        <v>0.16776682242879101</v>
      </c>
      <c r="GY364" s="5">
        <v>0.16970755051635</v>
      </c>
      <c r="GZ364" s="5">
        <v>0.13721926105766899</v>
      </c>
      <c r="HA364" s="5">
        <v>-0.18402613558424499</v>
      </c>
      <c r="HB364" s="5">
        <v>0.71596814402009201</v>
      </c>
      <c r="HC364" s="5">
        <v>-0.56256488275152206</v>
      </c>
      <c r="HD364" s="5">
        <v>0.13741400575447801</v>
      </c>
      <c r="HE364" s="5">
        <v>0.17539948156031299</v>
      </c>
      <c r="HF364" s="5">
        <v>-9.94760336570676E-2</v>
      </c>
      <c r="HG364" s="5">
        <v>9.2783158032125904E-2</v>
      </c>
      <c r="HH364" s="5">
        <v>0.110325582421215</v>
      </c>
      <c r="HI364" s="5">
        <v>-5.1516440107280098E-2</v>
      </c>
      <c r="HJ364" s="5">
        <v>-0.11069793276033001</v>
      </c>
      <c r="HK364" s="5">
        <v>8.4156119087582804E-2</v>
      </c>
      <c r="HL364" s="5">
        <v>0.413294470921514</v>
      </c>
      <c r="HM364" s="5">
        <v>-0.17377191188006699</v>
      </c>
      <c r="HN364" s="5">
        <v>0.120034222881422</v>
      </c>
      <c r="HO364" s="5">
        <v>-7.5879900256278299E-3</v>
      </c>
      <c r="HP364" s="5">
        <v>0.31534419541504</v>
      </c>
      <c r="HQ364" s="5">
        <v>-2.6467690768969002E-2</v>
      </c>
      <c r="HR364" s="5">
        <v>0.49162759629214298</v>
      </c>
      <c r="HS364" s="5">
        <v>-0.282278434065666</v>
      </c>
      <c r="HT364" s="5">
        <v>0.19761794480505801</v>
      </c>
      <c r="HU364" s="5">
        <v>-7.1161053237827704E-2</v>
      </c>
      <c r="HV364" s="5">
        <v>0.35188510752557001</v>
      </c>
      <c r="HW364" s="5">
        <v>-8.1172169413602599E-2</v>
      </c>
      <c r="HX364" s="5">
        <v>0.39913493949301199</v>
      </c>
      <c r="HY364" s="5">
        <v>-0.144794167291318</v>
      </c>
      <c r="HZ364" s="5">
        <v>0.187330308167134</v>
      </c>
      <c r="IA364" s="5">
        <v>-0.165178944158343</v>
      </c>
      <c r="IB364" s="5">
        <v>-0.19417098398396199</v>
      </c>
      <c r="IC364" s="5">
        <v>0.19171860240181099</v>
      </c>
      <c r="ID364" s="5">
        <v>0.542447419044644</v>
      </c>
      <c r="IE364" s="5">
        <v>-0.31512845594678401</v>
      </c>
      <c r="IF364" s="5">
        <v>0.40133352806327499</v>
      </c>
      <c r="IG364" s="5">
        <v>-0.10185615139663901</v>
      </c>
      <c r="IH364" s="5">
        <v>0.49280148669548002</v>
      </c>
      <c r="II364" s="5">
        <v>-0.311379350197309</v>
      </c>
      <c r="IJ364" s="5">
        <v>0.38575987872147099</v>
      </c>
      <c r="IK364" s="5">
        <v>-0.26174582856662099</v>
      </c>
      <c r="IL364" s="5">
        <v>0.53363938280373302</v>
      </c>
      <c r="IM364" s="5">
        <v>-0.31867270900835998</v>
      </c>
      <c r="IN364" s="5">
        <v>0.48735047580610102</v>
      </c>
      <c r="IO364" s="5">
        <v>-0.22775768144040701</v>
      </c>
      <c r="IP364" s="5">
        <v>0.57155206059349695</v>
      </c>
      <c r="IQ364" s="5">
        <v>-0.30992922764544001</v>
      </c>
      <c r="IR364" s="5">
        <v>0.115142831842853</v>
      </c>
      <c r="IS364" s="5">
        <v>0.10220344381737</v>
      </c>
      <c r="IT364" s="5">
        <v>0.36040152882544901</v>
      </c>
      <c r="IU364" s="5">
        <v>-7.0951620974534099E-2</v>
      </c>
      <c r="IV364" s="5">
        <v>0.486027248624881</v>
      </c>
      <c r="IW364" s="5">
        <v>-0.257796963826182</v>
      </c>
      <c r="IX364" s="5">
        <v>0.54368519508079605</v>
      </c>
      <c r="IY364" s="5">
        <v>-0.36354196112958498</v>
      </c>
      <c r="IZ364" s="5">
        <v>0.12841245792984901</v>
      </c>
      <c r="JA364" s="5">
        <v>-6.9465857518585195E-2</v>
      </c>
      <c r="JB364" s="5">
        <v>-9.1940343715871703E-2</v>
      </c>
      <c r="JC364" s="5">
        <v>-1.94092061258299E-2</v>
      </c>
      <c r="JD364" s="5">
        <v>0.134265091510265</v>
      </c>
      <c r="JE364" s="5">
        <v>0.25291788053366698</v>
      </c>
      <c r="JF364" s="5">
        <v>0.35792617141188499</v>
      </c>
      <c r="JG364" s="5">
        <v>-0.24876634301935999</v>
      </c>
      <c r="JH364" s="5">
        <v>0.210637268417083</v>
      </c>
      <c r="JI364" s="5">
        <v>-0.17581252593871199</v>
      </c>
      <c r="JJ364" s="5">
        <v>0.55188333561495995</v>
      </c>
      <c r="JK364" s="5">
        <v>-0.221992532876505</v>
      </c>
      <c r="JL364" s="5">
        <v>0.37500958802509499</v>
      </c>
      <c r="JM364" s="5">
        <v>-7.6225357760088194E-2</v>
      </c>
      <c r="JN364" s="5">
        <v>0.64444344685698396</v>
      </c>
      <c r="JO364" s="5">
        <v>-0.46975979557768999</v>
      </c>
      <c r="JP364" s="5">
        <v>0.63392207724767302</v>
      </c>
      <c r="JQ364" s="5">
        <v>-0.396323923707398</v>
      </c>
      <c r="JR364" s="5">
        <v>0.15904526691252299</v>
      </c>
      <c r="JS364" s="5">
        <v>0.23367534425102099</v>
      </c>
      <c r="JT364" s="5">
        <v>0.135778640334977</v>
      </c>
      <c r="JU364" s="5">
        <v>0.124837242482101</v>
      </c>
      <c r="JV364" s="5">
        <v>0.38146192074693802</v>
      </c>
      <c r="JW364" s="5">
        <v>-9.6116049361093706E-2</v>
      </c>
      <c r="JX364" s="5">
        <v>4.4400939027383603E-2</v>
      </c>
      <c r="JY364" s="5">
        <v>-1.4969919209977501E-2</v>
      </c>
      <c r="JZ364" s="5">
        <v>0.45817834577923899</v>
      </c>
      <c r="KA364" s="5">
        <v>-0.26971589267900298</v>
      </c>
      <c r="KB364" s="5">
        <v>4.4757433068687404E-3</v>
      </c>
      <c r="KC364" s="5">
        <v>1.0807584817443599E-2</v>
      </c>
      <c r="KD364" s="5">
        <v>0.35475825934543098</v>
      </c>
      <c r="KE364" s="5">
        <v>-0.19123528166954201</v>
      </c>
      <c r="KF364" s="5">
        <v>0.36312650353239001</v>
      </c>
      <c r="KG364" s="5">
        <v>-0.17168273975392001</v>
      </c>
      <c r="KH364" s="5">
        <v>0.242178227798</v>
      </c>
      <c r="KI364" s="5">
        <v>0.140344846386703</v>
      </c>
      <c r="KJ364" s="5">
        <v>0.48562821217825097</v>
      </c>
      <c r="KK364" s="5">
        <v>-0.18487119474573599</v>
      </c>
      <c r="KL364" s="5">
        <v>0.33632889575111002</v>
      </c>
      <c r="KM364" s="5">
        <v>-0.177857124436409</v>
      </c>
      <c r="KN364" s="5">
        <v>0.120163755009738</v>
      </c>
      <c r="KO364" s="5">
        <v>-4.5697033688785603E-2</v>
      </c>
      <c r="KP364" s="5">
        <v>-0.35562056918845603</v>
      </c>
      <c r="KQ364" s="5">
        <v>0.30068842680019298</v>
      </c>
      <c r="KR364" s="5">
        <v>0.73808100792425901</v>
      </c>
      <c r="KS364" s="5">
        <v>-0.526829742357106</v>
      </c>
      <c r="KT364" s="5">
        <v>0.50119781790292195</v>
      </c>
      <c r="KU364" s="5">
        <v>-0.19814058422191699</v>
      </c>
      <c r="KV364" s="5">
        <v>0.53553963197974397</v>
      </c>
      <c r="KW364" s="5">
        <v>-0.24069354000635601</v>
      </c>
      <c r="KX364" s="5">
        <v>0.54367974342354097</v>
      </c>
      <c r="KY364" s="5">
        <v>-0.236053935713639</v>
      </c>
      <c r="KZ364" s="5">
        <v>0.385187076082952</v>
      </c>
      <c r="LA364" s="5">
        <v>-0.243993346875332</v>
      </c>
      <c r="LB364" s="5">
        <v>0.68588487152323496</v>
      </c>
      <c r="LC364" s="5">
        <v>-0.46147415485794202</v>
      </c>
      <c r="LD364" s="5">
        <v>0.5241966255353</v>
      </c>
      <c r="LE364" s="5">
        <v>-0.33787191929676502</v>
      </c>
      <c r="LF364" s="5">
        <v>0.21763175928442799</v>
      </c>
      <c r="LG364" s="5">
        <v>-6.6838031367488601E-2</v>
      </c>
      <c r="LH364" s="5">
        <v>0.62574156722771201</v>
      </c>
      <c r="LI364" s="5">
        <v>-0.36299353011266</v>
      </c>
      <c r="LJ364" s="5">
        <v>0.213521612037505</v>
      </c>
      <c r="LK364" s="5">
        <v>-6.8339049473895103E-2</v>
      </c>
      <c r="LL364" s="5">
        <v>0.72970022908598797</v>
      </c>
      <c r="LM364" s="5">
        <v>-0.48693913573353098</v>
      </c>
      <c r="LN364" s="5">
        <v>0.66205232976081396</v>
      </c>
      <c r="LO364" s="5">
        <v>-0.47540205318816797</v>
      </c>
      <c r="LP364" s="5">
        <v>0.45112087678655599</v>
      </c>
      <c r="LQ364" s="5">
        <v>-0.34718615349727999</v>
      </c>
      <c r="LR364" s="5">
        <v>9.9944703526931397E-2</v>
      </c>
      <c r="LS364" s="5">
        <v>-9.1155057628791405E-2</v>
      </c>
      <c r="LT364" s="5">
        <v>0.17235365523591201</v>
      </c>
      <c r="LU364" s="5">
        <v>-0.12794723716541001</v>
      </c>
      <c r="LV364" s="5">
        <v>-6.8953097636745397E-2</v>
      </c>
      <c r="LW364" s="5">
        <v>-1.9774969893139201E-2</v>
      </c>
      <c r="LX364" s="5">
        <v>0.26453276453365399</v>
      </c>
      <c r="LY364" s="5">
        <v>0.106942741284802</v>
      </c>
      <c r="LZ364" s="5">
        <v>0.54468350480144501</v>
      </c>
      <c r="MA364" s="5">
        <v>-0.284751767054921</v>
      </c>
      <c r="MB364" s="5">
        <v>0.50160132186701001</v>
      </c>
      <c r="MC364" s="5">
        <v>-0.29869401448720101</v>
      </c>
      <c r="MD364" s="5">
        <v>0.46888574364158497</v>
      </c>
      <c r="ME364" s="5">
        <v>-0.30836902540425898</v>
      </c>
      <c r="MF364" s="5">
        <v>-0.181203542534355</v>
      </c>
      <c r="MG364" s="5">
        <v>0.17067895588099899</v>
      </c>
      <c r="MH364" s="5">
        <v>0.24100233357353101</v>
      </c>
      <c r="MI364" s="5">
        <v>9.6222437124934806E-2</v>
      </c>
      <c r="MJ364" s="5">
        <v>1.5795016737656199E-2</v>
      </c>
      <c r="MK364" s="5">
        <v>0.20116927127557299</v>
      </c>
      <c r="ML364" s="5">
        <v>0.26122143944321302</v>
      </c>
      <c r="MM364" s="5">
        <v>-6.5564028461524204E-2</v>
      </c>
      <c r="MN364" s="5">
        <v>0.57611343784887903</v>
      </c>
      <c r="MO364" s="5">
        <v>-0.39081567084469798</v>
      </c>
      <c r="MP364" s="5">
        <v>0.16389880710690599</v>
      </c>
      <c r="MQ364" s="5">
        <v>0.123751078449872</v>
      </c>
      <c r="MR364" s="5">
        <v>0.18371616329177101</v>
      </c>
      <c r="MS364" s="5">
        <v>2.2923006272081398E-2</v>
      </c>
      <c r="MT364" s="5">
        <v>0.213419939827178</v>
      </c>
      <c r="MU364" s="5">
        <v>-0.14094140955606899</v>
      </c>
      <c r="MV364" s="5">
        <v>0.354921541900524</v>
      </c>
      <c r="MW364" s="5">
        <v>-8.4949446805722501E-2</v>
      </c>
      <c r="MX364" s="5">
        <v>0.65780142978412104</v>
      </c>
      <c r="MY364" s="5">
        <v>-0.41781862237744199</v>
      </c>
      <c r="MZ364" s="5">
        <v>1</v>
      </c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</row>
    <row r="365" spans="1:389" x14ac:dyDescent="0.45">
      <c r="A365" s="4" t="str">
        <f ca="1">"UGA / beta2dist in "&amp;CELL("address",'damages-1990'!$K$183)</f>
        <v>UGA / beta2dist in '[BHM betas v3pd.xlsx]damages-1990'!$K$183</v>
      </c>
      <c r="B365" s="6">
        <v>-2.8954777595383199E-2</v>
      </c>
      <c r="C365" s="5">
        <v>5.5490052746107299E-2</v>
      </c>
      <c r="D365" s="5">
        <v>-0.39870423682832501</v>
      </c>
      <c r="E365" s="5">
        <v>0.61752532944051397</v>
      </c>
      <c r="F365" s="5">
        <v>-7.6094817057463807E-2</v>
      </c>
      <c r="G365" s="5">
        <v>9.5533970743280502E-2</v>
      </c>
      <c r="H365" s="5">
        <v>6.4314468916156697E-3</v>
      </c>
      <c r="I365" s="5">
        <v>-5.9840539278768499E-2</v>
      </c>
      <c r="J365" s="5">
        <v>-0.275072963910242</v>
      </c>
      <c r="K365" s="5">
        <v>0.39748634294015101</v>
      </c>
      <c r="L365" s="5">
        <v>-2.9913891135331799E-3</v>
      </c>
      <c r="M365" s="5">
        <v>1.07955051275929E-2</v>
      </c>
      <c r="N365" s="5">
        <v>-0.138513509798535</v>
      </c>
      <c r="O365" s="5">
        <v>0.19515023072856799</v>
      </c>
      <c r="P365" s="5">
        <v>-0.40353237003801701</v>
      </c>
      <c r="Q365" s="5">
        <v>0.48338549356920102</v>
      </c>
      <c r="R365" s="5">
        <v>-0.251417504751759</v>
      </c>
      <c r="S365" s="5">
        <v>0.46272862979832302</v>
      </c>
      <c r="T365" s="5">
        <v>-0.184001690439623</v>
      </c>
      <c r="U365" s="5">
        <v>0.21225179133007499</v>
      </c>
      <c r="V365" s="5">
        <v>2.48726081010321E-2</v>
      </c>
      <c r="W365" s="5">
        <v>-8.4536916405578894E-2</v>
      </c>
      <c r="X365" s="5">
        <v>-0.51777794572725899</v>
      </c>
      <c r="Y365" s="5">
        <v>0.71566561998427303</v>
      </c>
      <c r="Z365" s="5">
        <v>-5.9650158379867098E-2</v>
      </c>
      <c r="AA365" s="5">
        <v>6.88566305989608E-2</v>
      </c>
      <c r="AB365" s="5">
        <v>-0.27242996793801999</v>
      </c>
      <c r="AC365" s="5">
        <v>0.46569091993495199</v>
      </c>
      <c r="AD365" s="5">
        <v>-0.28936196687467097</v>
      </c>
      <c r="AE365" s="5">
        <v>0.45009143711687399</v>
      </c>
      <c r="AF365" s="5">
        <v>-1.9433273514654799E-2</v>
      </c>
      <c r="AG365" s="5">
        <v>0.14834217053599399</v>
      </c>
      <c r="AH365" s="5">
        <v>-0.10219504895810801</v>
      </c>
      <c r="AI365" s="5">
        <v>0.13139594800263499</v>
      </c>
      <c r="AJ365" s="5">
        <v>-0.31339653321972799</v>
      </c>
      <c r="AK365" s="5">
        <v>0.36311264849281599</v>
      </c>
      <c r="AL365" s="5">
        <v>-9.6795717134950499E-2</v>
      </c>
      <c r="AM365" s="5">
        <v>0.161343602188637</v>
      </c>
      <c r="AN365" s="5">
        <v>-0.21403429791255099</v>
      </c>
      <c r="AO365" s="5">
        <v>0.26611172728190802</v>
      </c>
      <c r="AP365" s="5">
        <v>-1.44752450824409E-3</v>
      </c>
      <c r="AQ365" s="5">
        <v>2.62793127216857E-2</v>
      </c>
      <c r="AR365" s="5">
        <v>-0.234741688983955</v>
      </c>
      <c r="AS365" s="5">
        <v>0.36127417305686399</v>
      </c>
      <c r="AT365" s="5">
        <v>0.143587173275534</v>
      </c>
      <c r="AU365" s="5">
        <v>-0.20295735827997999</v>
      </c>
      <c r="AV365" s="5">
        <v>-0.18130345768567699</v>
      </c>
      <c r="AW365" s="5">
        <v>0.374641800612658</v>
      </c>
      <c r="AX365" s="5">
        <v>-0.36067328523777098</v>
      </c>
      <c r="AY365" s="5">
        <v>0.64610495309669702</v>
      </c>
      <c r="AZ365" s="5">
        <v>-0.38915349008630401</v>
      </c>
      <c r="BA365" s="5">
        <v>0.46427890492485202</v>
      </c>
      <c r="BB365" s="5">
        <v>-0.206439703497971</v>
      </c>
      <c r="BC365" s="5">
        <v>0.36314591715504901</v>
      </c>
      <c r="BD365" s="5">
        <v>1.9308873929034399E-2</v>
      </c>
      <c r="BE365" s="5">
        <v>-2.3969732207205399E-2</v>
      </c>
      <c r="BF365" s="5">
        <v>-0.19719569541467399</v>
      </c>
      <c r="BG365" s="5">
        <v>0.30718948178408001</v>
      </c>
      <c r="BH365" s="5">
        <v>-0.43026436904066701</v>
      </c>
      <c r="BI365" s="5">
        <v>0.65832679585938403</v>
      </c>
      <c r="BJ365" s="5">
        <v>5.6293297446186899E-2</v>
      </c>
      <c r="BK365" s="5">
        <v>-0.19070359266630499</v>
      </c>
      <c r="BL365" s="5">
        <v>-0.21709682232222999</v>
      </c>
      <c r="BM365" s="5">
        <v>0.23647081747843901</v>
      </c>
      <c r="BN365" s="5">
        <v>6.04638099049426E-2</v>
      </c>
      <c r="BO365" s="5">
        <v>-0.13846396477678699</v>
      </c>
      <c r="BP365" s="5">
        <v>8.4773368585519093E-2</v>
      </c>
      <c r="BQ365" s="5">
        <v>-0.23096357786917099</v>
      </c>
      <c r="BR365" s="5">
        <v>-0.48993663362415102</v>
      </c>
      <c r="BS365" s="5">
        <v>0.67679387003118996</v>
      </c>
      <c r="BT365" s="5">
        <v>-0.3290175293266</v>
      </c>
      <c r="BU365" s="5">
        <v>0.58549465988135696</v>
      </c>
      <c r="BV365" s="5">
        <v>-0.487775704608786</v>
      </c>
      <c r="BW365" s="5">
        <v>0.73883892757057501</v>
      </c>
      <c r="BX365" s="5">
        <v>-0.37241232222722398</v>
      </c>
      <c r="BY365" s="5">
        <v>0.62637815958429599</v>
      </c>
      <c r="BZ365" s="5">
        <v>-0.47383731746164898</v>
      </c>
      <c r="CA365" s="5">
        <v>0.72461054937750402</v>
      </c>
      <c r="CB365" s="5">
        <v>-0.29045906575502001</v>
      </c>
      <c r="CC365" s="5">
        <v>0.43420641800201598</v>
      </c>
      <c r="CD365" s="5">
        <v>-0.17393441144545799</v>
      </c>
      <c r="CE365" s="5">
        <v>0.227699435134607</v>
      </c>
      <c r="CF365" s="5">
        <v>-0.49837277473435598</v>
      </c>
      <c r="CG365" s="5">
        <v>0.598175270033386</v>
      </c>
      <c r="CH365" s="5">
        <v>-0.11184844663322201</v>
      </c>
      <c r="CI365" s="5">
        <v>0.18479345270858799</v>
      </c>
      <c r="CJ365" s="5">
        <v>6.7217404155313604E-2</v>
      </c>
      <c r="CK365" s="5">
        <v>-8.3282519243476294E-2</v>
      </c>
      <c r="CL365" s="5">
        <v>-0.127702824118437</v>
      </c>
      <c r="CM365" s="5">
        <v>0.15155918201819199</v>
      </c>
      <c r="CN365" s="5">
        <v>-9.3468506403441204E-2</v>
      </c>
      <c r="CO365" s="5">
        <v>0.110077760078394</v>
      </c>
      <c r="CP365" s="5">
        <v>-0.47712821645623898</v>
      </c>
      <c r="CQ365" s="5">
        <v>0.55899724612400603</v>
      </c>
      <c r="CR365" s="5">
        <v>-0.43358676586385497</v>
      </c>
      <c r="CS365" s="5">
        <v>0.51386411446769997</v>
      </c>
      <c r="CT365" s="5">
        <v>-0.11112827312937799</v>
      </c>
      <c r="CU365" s="5">
        <v>0.13562661879732099</v>
      </c>
      <c r="CV365" s="5">
        <v>-0.40669604332041398</v>
      </c>
      <c r="CW365" s="5">
        <v>0.51483907413130803</v>
      </c>
      <c r="CX365" s="5">
        <v>-5.5845532962178701E-2</v>
      </c>
      <c r="CY365" s="5">
        <v>0.14722611079131001</v>
      </c>
      <c r="CZ365" s="5">
        <v>-0.50945699409917999</v>
      </c>
      <c r="DA365" s="5">
        <v>0.712827688961857</v>
      </c>
      <c r="DB365" s="5">
        <v>5.4086967769974403E-2</v>
      </c>
      <c r="DC365" s="5">
        <v>-0.12347367763612099</v>
      </c>
      <c r="DD365" s="5">
        <v>-0.29362917678752898</v>
      </c>
      <c r="DE365" s="5">
        <v>0.40211873599509002</v>
      </c>
      <c r="DF365" s="5">
        <v>-0.33499310033223201</v>
      </c>
      <c r="DG365" s="5">
        <v>0.45570678127941799</v>
      </c>
      <c r="DH365" s="5">
        <v>-0.172177150404621</v>
      </c>
      <c r="DI365" s="5">
        <v>0.29203864808701502</v>
      </c>
      <c r="DJ365" s="5">
        <v>3.1348468465572703E-2</v>
      </c>
      <c r="DK365" s="5">
        <v>1.2953332763306199E-3</v>
      </c>
      <c r="DL365" s="5">
        <v>-0.50876296371428298</v>
      </c>
      <c r="DM365" s="5">
        <v>0.66850166929266897</v>
      </c>
      <c r="DN365" s="5">
        <v>6.9531148303002499E-2</v>
      </c>
      <c r="DO365" s="5">
        <v>-3.7407445439068203E-2</v>
      </c>
      <c r="DP365" s="5">
        <v>0.212612172822432</v>
      </c>
      <c r="DQ365" s="5">
        <v>-0.22993026028007399</v>
      </c>
      <c r="DR365" s="5">
        <v>-8.0571826377993705E-2</v>
      </c>
      <c r="DS365" s="5">
        <v>0.108748132843413</v>
      </c>
      <c r="DT365" s="5">
        <v>-0.24593795808629501</v>
      </c>
      <c r="DU365" s="5">
        <v>0.28149700851807202</v>
      </c>
      <c r="DV365" s="5">
        <v>-0.348389285760416</v>
      </c>
      <c r="DW365" s="5">
        <v>0.54851006205595898</v>
      </c>
      <c r="DX365" s="5">
        <v>9.5745192766153495E-2</v>
      </c>
      <c r="DY365" s="5">
        <v>-0.12790731295670399</v>
      </c>
      <c r="DZ365" s="5">
        <v>-9.7601931810275502E-2</v>
      </c>
      <c r="EA365" s="5">
        <v>0.174648338684191</v>
      </c>
      <c r="EB365" s="5">
        <v>-0.43585434117248401</v>
      </c>
      <c r="EC365" s="5">
        <v>0.61621325032274699</v>
      </c>
      <c r="ED365" s="5">
        <v>-0.44606324101588501</v>
      </c>
      <c r="EE365" s="5">
        <v>0.64416477341522804</v>
      </c>
      <c r="EF365" s="5">
        <v>-0.44994091592912</v>
      </c>
      <c r="EG365" s="5">
        <v>0.51725717708563701</v>
      </c>
      <c r="EH365" s="5">
        <v>-0.39100364275511801</v>
      </c>
      <c r="EI365" s="5">
        <v>0.51982946984621903</v>
      </c>
      <c r="EJ365" s="5">
        <v>-0.39668489703047599</v>
      </c>
      <c r="EK365" s="5">
        <v>0.54643978255667702</v>
      </c>
      <c r="EL365" s="5">
        <v>-0.48837384337759099</v>
      </c>
      <c r="EM365" s="5">
        <v>0.71211418939293103</v>
      </c>
      <c r="EN365" s="5">
        <v>0.12672648160524599</v>
      </c>
      <c r="EO365" s="5">
        <v>-0.16633682900895699</v>
      </c>
      <c r="EP365" s="5">
        <v>-0.41287513703358802</v>
      </c>
      <c r="EQ365" s="5">
        <v>0.49385501945198601</v>
      </c>
      <c r="ER365" s="5">
        <v>-0.27609562421405498</v>
      </c>
      <c r="ES365" s="5">
        <v>0.46121414779561998</v>
      </c>
      <c r="ET365" s="5">
        <v>-0.28023610869056498</v>
      </c>
      <c r="EU365" s="5">
        <v>0.49732903617105401</v>
      </c>
      <c r="EV365" s="5">
        <v>-0.36765339518290602</v>
      </c>
      <c r="EW365" s="5">
        <v>0.58818647858721895</v>
      </c>
      <c r="EX365" s="5">
        <v>-3.4940017930668303E-2</v>
      </c>
      <c r="EY365" s="5">
        <v>0.17082279172406101</v>
      </c>
      <c r="EZ365" s="5">
        <v>-0.260826263964339</v>
      </c>
      <c r="FA365" s="5">
        <v>0.43732664226711498</v>
      </c>
      <c r="FB365" s="5">
        <v>-0.14940048302947101</v>
      </c>
      <c r="FC365" s="5">
        <v>0.194163137465345</v>
      </c>
      <c r="FD365" s="5">
        <v>-0.39552975442746302</v>
      </c>
      <c r="FE365" s="5">
        <v>0.53827559066462405</v>
      </c>
      <c r="FF365" s="5">
        <v>-0.119963499917409</v>
      </c>
      <c r="FG365" s="5">
        <v>0.149297843216773</v>
      </c>
      <c r="FH365" s="5">
        <v>5.0569543862434001E-2</v>
      </c>
      <c r="FI365" s="5">
        <v>-1.7208489182251499E-2</v>
      </c>
      <c r="FJ365" s="5">
        <v>-0.16359043417615199</v>
      </c>
      <c r="FK365" s="5">
        <v>0.26611413994229199</v>
      </c>
      <c r="FL365" s="5">
        <v>0.25826800002658101</v>
      </c>
      <c r="FM365" s="5">
        <v>-0.31433531341328003</v>
      </c>
      <c r="FN365" s="5">
        <v>-4.43616831991933E-2</v>
      </c>
      <c r="FO365" s="5">
        <v>6.8722270220961806E-2</v>
      </c>
      <c r="FP365" s="5">
        <v>-7.6107143155794102E-2</v>
      </c>
      <c r="FQ365" s="5">
        <v>3.0412429701518601E-2</v>
      </c>
      <c r="FR365" s="5">
        <v>0.29378668601178098</v>
      </c>
      <c r="FS365" s="5">
        <v>-0.32054915930893102</v>
      </c>
      <c r="FT365" s="5">
        <v>-1.16201881379553E-3</v>
      </c>
      <c r="FU365" s="5">
        <v>-3.9734181518461802E-2</v>
      </c>
      <c r="FV365" s="5">
        <v>-7.8607902077553193E-2</v>
      </c>
      <c r="FW365" s="5">
        <v>0.11701579973675499</v>
      </c>
      <c r="FX365" s="5">
        <v>-0.46832756566046402</v>
      </c>
      <c r="FY365" s="5">
        <v>0.60376249803386794</v>
      </c>
      <c r="FZ365" s="5">
        <v>-5.6291970332104403E-2</v>
      </c>
      <c r="GA365" s="5">
        <v>2.33000374934988E-2</v>
      </c>
      <c r="GB365" s="5">
        <v>-8.3200730464114303E-2</v>
      </c>
      <c r="GC365" s="5">
        <v>0.11922580133103799</v>
      </c>
      <c r="GD365" s="5">
        <v>9.0041873094944005E-2</v>
      </c>
      <c r="GE365" s="5">
        <v>-0.123805135207494</v>
      </c>
      <c r="GF365" s="5">
        <v>-0.47257614201460302</v>
      </c>
      <c r="GG365" s="5">
        <v>0.69197522537793998</v>
      </c>
      <c r="GH365" s="5">
        <v>0.258006010133915</v>
      </c>
      <c r="GI365" s="5">
        <v>-0.40347056543000998</v>
      </c>
      <c r="GJ365" s="5">
        <v>-0.17497032596786799</v>
      </c>
      <c r="GK365" s="5">
        <v>0.36076639296469698</v>
      </c>
      <c r="GL365" s="5">
        <v>-0.40528806133582901</v>
      </c>
      <c r="GM365" s="5">
        <v>0.463727030984184</v>
      </c>
      <c r="GN365" s="5">
        <v>-6.2148040357978503E-2</v>
      </c>
      <c r="GO365" s="5">
        <v>0.102095930406115</v>
      </c>
      <c r="GP365" s="5">
        <v>-0.176310903600394</v>
      </c>
      <c r="GQ365" s="5">
        <v>0.176915846479786</v>
      </c>
      <c r="GR365" s="5">
        <v>-0.21649882893368999</v>
      </c>
      <c r="GS365" s="5">
        <v>0.39871645868100902</v>
      </c>
      <c r="GT365" s="5">
        <v>-3.40033820625903E-2</v>
      </c>
      <c r="GU365" s="5">
        <v>-2.2825861085216299E-2</v>
      </c>
      <c r="GV365" s="5">
        <v>-0.407849842905955</v>
      </c>
      <c r="GW365" s="5">
        <v>0.66577225110804505</v>
      </c>
      <c r="GX365" s="5">
        <v>0.120940129188724</v>
      </c>
      <c r="GY365" s="5">
        <v>-0.132104766040469</v>
      </c>
      <c r="GZ365" s="5">
        <v>-0.21413733590171</v>
      </c>
      <c r="HA365" s="5">
        <v>0.23331533102330199</v>
      </c>
      <c r="HB365" s="5">
        <v>-0.48707437949466198</v>
      </c>
      <c r="HC365" s="5">
        <v>0.73482011210018305</v>
      </c>
      <c r="HD365" s="5">
        <v>-5.06949240436547E-2</v>
      </c>
      <c r="HE365" s="5">
        <v>0.103516796159952</v>
      </c>
      <c r="HF365" s="5">
        <v>2.1893197292265701E-2</v>
      </c>
      <c r="HG365" s="5">
        <v>-2.163677520678E-3</v>
      </c>
      <c r="HH365" s="5">
        <v>-8.4995204388437301E-2</v>
      </c>
      <c r="HI365" s="5">
        <v>9.6133850728262804E-2</v>
      </c>
      <c r="HJ365" s="5">
        <v>1.77327407448944E-2</v>
      </c>
      <c r="HK365" s="5">
        <v>1.06239126461487E-2</v>
      </c>
      <c r="HL365" s="5">
        <v>-0.30080749020293002</v>
      </c>
      <c r="HM365" s="5">
        <v>0.464315002211658</v>
      </c>
      <c r="HN365" s="5">
        <v>-6.2128649824582403E-2</v>
      </c>
      <c r="HO365" s="5">
        <v>8.5862245044528801E-2</v>
      </c>
      <c r="HP365" s="5">
        <v>5.70254436070416E-2</v>
      </c>
      <c r="HQ365" s="5">
        <v>8.7781446125952303E-2</v>
      </c>
      <c r="HR365" s="5">
        <v>-0.17709161365131801</v>
      </c>
      <c r="HS365" s="5">
        <v>0.38115132049955203</v>
      </c>
      <c r="HT365" s="5">
        <v>-0.14561035794253499</v>
      </c>
      <c r="HU365" s="5">
        <v>0.19118132910426699</v>
      </c>
      <c r="HV365" s="5">
        <v>-0.116859373514879</v>
      </c>
      <c r="HW365" s="5">
        <v>0.254655029853883</v>
      </c>
      <c r="HX365" s="5">
        <v>-0.144306325115439</v>
      </c>
      <c r="HY365" s="5">
        <v>0.33812001584527202</v>
      </c>
      <c r="HZ365" s="5">
        <v>-0.22674487581137401</v>
      </c>
      <c r="IA365" s="5">
        <v>0.27822901111718101</v>
      </c>
      <c r="IB365" s="5">
        <v>0.15823695593775899</v>
      </c>
      <c r="IC365" s="5">
        <v>-0.236817811265182</v>
      </c>
      <c r="ID365" s="5">
        <v>-0.20132784060253001</v>
      </c>
      <c r="IE365" s="5">
        <v>0.40329422447862601</v>
      </c>
      <c r="IF365" s="5">
        <v>-0.19390519503386799</v>
      </c>
      <c r="IG365" s="5">
        <v>0.32309399631497698</v>
      </c>
      <c r="IH365" s="5">
        <v>-0.446872920707511</v>
      </c>
      <c r="II365" s="5">
        <v>0.52942497542370204</v>
      </c>
      <c r="IJ365" s="5">
        <v>-0.21594676986771999</v>
      </c>
      <c r="IK365" s="5">
        <v>0.27005128634372599</v>
      </c>
      <c r="IL365" s="5">
        <v>-0.222977041836008</v>
      </c>
      <c r="IM365" s="5">
        <v>0.43585915715126999</v>
      </c>
      <c r="IN365" s="5">
        <v>-0.14129674062765099</v>
      </c>
      <c r="IO365" s="5">
        <v>0.29357492900689802</v>
      </c>
      <c r="IP365" s="5">
        <v>-0.35554541749948998</v>
      </c>
      <c r="IQ365" s="5">
        <v>0.51602900148952202</v>
      </c>
      <c r="IR365" s="5">
        <v>0.10405515558954601</v>
      </c>
      <c r="IS365" s="5">
        <v>-9.3920707352797603E-2</v>
      </c>
      <c r="IT365" s="5">
        <v>-6.9858460839448605E-2</v>
      </c>
      <c r="IU365" s="5">
        <v>0.17728916536509301</v>
      </c>
      <c r="IV365" s="5">
        <v>-0.28054222596866901</v>
      </c>
      <c r="IW365" s="5">
        <v>0.45223234546040297</v>
      </c>
      <c r="IX365" s="5">
        <v>-0.38351684328602698</v>
      </c>
      <c r="IY365" s="5">
        <v>0.57286139936785796</v>
      </c>
      <c r="IZ365" s="5">
        <v>-8.7147671901609797E-2</v>
      </c>
      <c r="JA365" s="5">
        <v>0.101336671217116</v>
      </c>
      <c r="JB365" s="5">
        <v>-6.6231137353373506E-2</v>
      </c>
      <c r="JC365" s="5">
        <v>0.110784872547257</v>
      </c>
      <c r="JD365" s="5">
        <v>3.2447006790400197E-2</v>
      </c>
      <c r="JE365" s="5">
        <v>-1.0277354922195199E-2</v>
      </c>
      <c r="JF365" s="5">
        <v>-0.191435787476922</v>
      </c>
      <c r="JG365" s="5">
        <v>0.30382915268536997</v>
      </c>
      <c r="JH365" s="5">
        <v>-0.20909344941414201</v>
      </c>
      <c r="JI365" s="5">
        <v>0.31179084971210203</v>
      </c>
      <c r="JJ365" s="5">
        <v>-0.33343431771615001</v>
      </c>
      <c r="JK365" s="5">
        <v>0.47389261579048397</v>
      </c>
      <c r="JL365" s="5">
        <v>-0.200001545906803</v>
      </c>
      <c r="JM365" s="5">
        <v>0.312229157935065</v>
      </c>
      <c r="JN365" s="5">
        <v>-0.50790353448424996</v>
      </c>
      <c r="JO365" s="5">
        <v>0.65279275016704297</v>
      </c>
      <c r="JP365" s="5">
        <v>-0.37114332832728097</v>
      </c>
      <c r="JQ365" s="5">
        <v>0.60144071525174103</v>
      </c>
      <c r="JR365" s="5">
        <v>0.207487742041673</v>
      </c>
      <c r="JS365" s="5">
        <v>-0.21203792308060099</v>
      </c>
      <c r="JT365" s="5">
        <v>0.13599402044197501</v>
      </c>
      <c r="JU365" s="5">
        <v>-0.156189508556205</v>
      </c>
      <c r="JV365" s="5">
        <v>-1.2166330938286601E-2</v>
      </c>
      <c r="JW365" s="5">
        <v>0.135174395839505</v>
      </c>
      <c r="JX365" s="5">
        <v>-5.6708023691943901E-2</v>
      </c>
      <c r="JY365" s="5">
        <v>7.0492199239179806E-2</v>
      </c>
      <c r="JZ365" s="5">
        <v>-0.45635666360077098</v>
      </c>
      <c r="KA365" s="5">
        <v>0.51341988718827702</v>
      </c>
      <c r="KB365" s="5">
        <v>-0.11376793488272501</v>
      </c>
      <c r="KC365" s="5">
        <v>0.107272603280259</v>
      </c>
      <c r="KD365" s="5">
        <v>-0.236724500966562</v>
      </c>
      <c r="KE365" s="5">
        <v>0.35987153422143597</v>
      </c>
      <c r="KF365" s="5">
        <v>-6.1906710945640299E-2</v>
      </c>
      <c r="KG365" s="5">
        <v>0.13904801141937101</v>
      </c>
      <c r="KH365" s="5">
        <v>2.8864783029950401E-3</v>
      </c>
      <c r="KI365" s="5">
        <v>-4.5197096640003702E-2</v>
      </c>
      <c r="KJ365" s="5">
        <v>-0.29870895330924502</v>
      </c>
      <c r="KK365" s="5">
        <v>0.379147048146043</v>
      </c>
      <c r="KL365" s="5">
        <v>-5.9252192871794201E-2</v>
      </c>
      <c r="KM365" s="5">
        <v>0.122263554273493</v>
      </c>
      <c r="KN365" s="5">
        <v>-0.10004744697671</v>
      </c>
      <c r="KO365" s="5">
        <v>0.134472870323535</v>
      </c>
      <c r="KP365" s="5">
        <v>0.25372183678531202</v>
      </c>
      <c r="KQ365" s="5">
        <v>-0.29544386531466299</v>
      </c>
      <c r="KR365" s="5">
        <v>-0.54651022415704598</v>
      </c>
      <c r="KS365" s="5">
        <v>0.76799566914190298</v>
      </c>
      <c r="KT365" s="5">
        <v>-0.30573046822953498</v>
      </c>
      <c r="KU365" s="5">
        <v>0.43816516844023401</v>
      </c>
      <c r="KV365" s="5">
        <v>-0.31856214963240098</v>
      </c>
      <c r="KW365" s="5">
        <v>0.44980560889488802</v>
      </c>
      <c r="KX365" s="5">
        <v>-0.36159174250929599</v>
      </c>
      <c r="KY365" s="5">
        <v>0.48886043405141899</v>
      </c>
      <c r="KZ365" s="5">
        <v>-0.237077990132398</v>
      </c>
      <c r="LA365" s="5">
        <v>0.36447018685481902</v>
      </c>
      <c r="LB365" s="5">
        <v>-0.45451939496439397</v>
      </c>
      <c r="LC365" s="5">
        <v>0.65867297727072505</v>
      </c>
      <c r="LD365" s="5">
        <v>-0.29152108715027297</v>
      </c>
      <c r="LE365" s="5">
        <v>0.47184731583724998</v>
      </c>
      <c r="LF365" s="5">
        <v>-0.13653320681366099</v>
      </c>
      <c r="LG365" s="5">
        <v>0.19108412669462599</v>
      </c>
      <c r="LH365" s="5">
        <v>-0.43485463316023898</v>
      </c>
      <c r="LI365" s="5">
        <v>0.61306451169081999</v>
      </c>
      <c r="LJ365" s="5">
        <v>-0.14822335738683701</v>
      </c>
      <c r="LK365" s="5">
        <v>0.18777469188746901</v>
      </c>
      <c r="LL365" s="5">
        <v>-0.55487553195707695</v>
      </c>
      <c r="LM365" s="5">
        <v>0.72383836842007998</v>
      </c>
      <c r="LN365" s="5">
        <v>-0.48477069314593202</v>
      </c>
      <c r="LO365" s="5">
        <v>0.62851711629889795</v>
      </c>
      <c r="LP365" s="5">
        <v>-0.26292539162839201</v>
      </c>
      <c r="LQ365" s="5">
        <v>0.50914972140251802</v>
      </c>
      <c r="LR365" s="5">
        <v>-0.12075576106497</v>
      </c>
      <c r="LS365" s="5">
        <v>0.14720576706080701</v>
      </c>
      <c r="LT365" s="5">
        <v>-0.19011585438945</v>
      </c>
      <c r="LU365" s="5">
        <v>0.229797545850736</v>
      </c>
      <c r="LV365" s="5">
        <v>-7.4033167965890503E-2</v>
      </c>
      <c r="LW365" s="5">
        <v>0.10811562896990499</v>
      </c>
      <c r="LX365" s="5">
        <v>-1.86343598231654E-2</v>
      </c>
      <c r="LY365" s="5">
        <v>-3.2429052070125697E-2</v>
      </c>
      <c r="LZ365" s="5">
        <v>-0.25167276341186201</v>
      </c>
      <c r="MA365" s="5">
        <v>0.41275046292397399</v>
      </c>
      <c r="MB365" s="5">
        <v>-0.32216893067295999</v>
      </c>
      <c r="MC365" s="5">
        <v>0.52654231333610801</v>
      </c>
      <c r="MD365" s="5">
        <v>-0.18963207234731899</v>
      </c>
      <c r="ME365" s="5">
        <v>0.36092298813231699</v>
      </c>
      <c r="MF365" s="5">
        <v>0.23057362209412799</v>
      </c>
      <c r="MG365" s="5">
        <v>-0.33428339357165199</v>
      </c>
      <c r="MH365" s="5">
        <v>-1.6402216588546101E-2</v>
      </c>
      <c r="MI365" s="5">
        <v>2.8927520602080498E-2</v>
      </c>
      <c r="MJ365" s="5">
        <v>0.314628079931286</v>
      </c>
      <c r="MK365" s="5">
        <v>-0.392096939343338</v>
      </c>
      <c r="ML365" s="5">
        <v>-6.0913976690937597E-3</v>
      </c>
      <c r="MM365" s="5">
        <v>3.8474254408818603E-2</v>
      </c>
      <c r="MN365" s="5">
        <v>-0.558118338997454</v>
      </c>
      <c r="MO365" s="5">
        <v>0.62282600005500799</v>
      </c>
      <c r="MP365" s="5">
        <v>3.6644929081542398E-2</v>
      </c>
      <c r="MQ365" s="5">
        <v>5.4144369041760898E-3</v>
      </c>
      <c r="MR365" s="5">
        <v>-3.5835300634661497E-2</v>
      </c>
      <c r="MS365" s="5">
        <v>4.0241280484661301E-2</v>
      </c>
      <c r="MT365" s="5">
        <v>-0.18395425001840199</v>
      </c>
      <c r="MU365" s="5">
        <v>0.23994570987542399</v>
      </c>
      <c r="MV365" s="5">
        <v>-7.6871321408387996E-2</v>
      </c>
      <c r="MW365" s="5">
        <v>0.19593076025630199</v>
      </c>
      <c r="MX365" s="5">
        <v>-0.39579616346944102</v>
      </c>
      <c r="MY365" s="5">
        <v>0.60684481115517297</v>
      </c>
      <c r="MZ365" s="5">
        <v>-0.800241656255543</v>
      </c>
      <c r="NA365" s="5">
        <v>1</v>
      </c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</row>
    <row r="366" spans="1:389" x14ac:dyDescent="0.45">
      <c r="A366" s="4" t="str">
        <f ca="1">"UKR / beta1dist in "&amp;CELL("address",'damages-1990'!$J$184)</f>
        <v>UKR / beta1dist in '[BHM betas v3pd.xlsx]damages-1990'!$J$184</v>
      </c>
      <c r="B366" s="6">
        <v>0.39069582071792403</v>
      </c>
      <c r="C366" s="5">
        <v>-0.264092948404618</v>
      </c>
      <c r="D366" s="5">
        <v>0.204360129526165</v>
      </c>
      <c r="E366" s="5">
        <v>-0.32548206412492098</v>
      </c>
      <c r="F366" s="5">
        <v>0.52865793405918604</v>
      </c>
      <c r="G366" s="5">
        <v>-0.39778472070249998</v>
      </c>
      <c r="H366" s="5">
        <v>0.47128195223733998</v>
      </c>
      <c r="I366" s="5">
        <v>-0.30447417381925101</v>
      </c>
      <c r="J366" s="5">
        <v>-0.108047299323683</v>
      </c>
      <c r="K366" s="5">
        <v>-7.1896113223952497E-3</v>
      </c>
      <c r="L366" s="5">
        <v>0.21951089801338</v>
      </c>
      <c r="M366" s="5">
        <v>-6.6241097283014194E-2</v>
      </c>
      <c r="N366" s="5">
        <v>0.470548127271952</v>
      </c>
      <c r="O366" s="5">
        <v>-0.18558464404238101</v>
      </c>
      <c r="P366" s="5">
        <v>1.8749550847760098E-2</v>
      </c>
      <c r="Q366" s="5">
        <v>-0.11619635974328001</v>
      </c>
      <c r="R366" s="5">
        <v>2.9574606804086602E-4</v>
      </c>
      <c r="S366" s="5">
        <v>-7.3727295692901804E-2</v>
      </c>
      <c r="T366" s="5">
        <v>0.64146792960017696</v>
      </c>
      <c r="U366" s="5">
        <v>-0.49510473906232899</v>
      </c>
      <c r="V366" s="5">
        <v>0.44134678587048898</v>
      </c>
      <c r="W366" s="5">
        <v>-0.35294066528928902</v>
      </c>
      <c r="X366" s="5">
        <v>0.154852666126511</v>
      </c>
      <c r="Y366" s="5">
        <v>-0.196160907972774</v>
      </c>
      <c r="Z366" s="5">
        <v>0.62647803809154801</v>
      </c>
      <c r="AA366" s="5">
        <v>-0.51493349263588395</v>
      </c>
      <c r="AB366" s="5">
        <v>0.11763346842764801</v>
      </c>
      <c r="AC366" s="5">
        <v>-0.18851908285655</v>
      </c>
      <c r="AD366" s="5">
        <v>0.130772336330439</v>
      </c>
      <c r="AE366" s="5">
        <v>-0.189046229824507</v>
      </c>
      <c r="AF366" s="5">
        <v>-1.7076558147373501E-2</v>
      </c>
      <c r="AG366" s="5">
        <v>-7.9958040847551898E-2</v>
      </c>
      <c r="AH366" s="5">
        <v>0.67872018453469096</v>
      </c>
      <c r="AI366" s="5">
        <v>-0.56021072302402997</v>
      </c>
      <c r="AJ366" s="5">
        <v>-0.13589218912374401</v>
      </c>
      <c r="AK366" s="5">
        <v>-1.15449993283903E-2</v>
      </c>
      <c r="AL366" s="5">
        <v>-0.27791156249419702</v>
      </c>
      <c r="AM366" s="5">
        <v>0.26669494952251599</v>
      </c>
      <c r="AN366" s="5">
        <v>0.67440797504202199</v>
      </c>
      <c r="AO366" s="5">
        <v>-0.52544696222729304</v>
      </c>
      <c r="AP366" s="5">
        <v>0.829773539217048</v>
      </c>
      <c r="AQ366" s="5">
        <v>-0.71403996868443198</v>
      </c>
      <c r="AR366" s="5">
        <v>-5.6575639001630498E-2</v>
      </c>
      <c r="AS366" s="5">
        <v>-4.0884641582006297E-2</v>
      </c>
      <c r="AT366" s="5">
        <v>-0.274965878993438</v>
      </c>
      <c r="AU366" s="5">
        <v>0.26605876078164198</v>
      </c>
      <c r="AV366" s="5">
        <v>-1.7249865511100901E-2</v>
      </c>
      <c r="AW366" s="5">
        <v>-8.2580601427218306E-2</v>
      </c>
      <c r="AX366" s="5">
        <v>-4.5950661155407399E-2</v>
      </c>
      <c r="AY366" s="5">
        <v>-0.106547348436638</v>
      </c>
      <c r="AZ366" s="5">
        <v>6.5879403566304798E-2</v>
      </c>
      <c r="BA366" s="5">
        <v>-0.13464765052973801</v>
      </c>
      <c r="BB366" s="5">
        <v>5.3070207129057897E-2</v>
      </c>
      <c r="BC366" s="5">
        <v>-0.21931031918240401</v>
      </c>
      <c r="BD366" s="5">
        <v>0.52487476027289304</v>
      </c>
      <c r="BE366" s="5">
        <v>-0.35589421504732699</v>
      </c>
      <c r="BF366" s="5">
        <v>0.136608240599916</v>
      </c>
      <c r="BG366" s="5">
        <v>-0.25392408061847199</v>
      </c>
      <c r="BH366" s="5">
        <v>4.9499208679598401E-2</v>
      </c>
      <c r="BI366" s="5">
        <v>-0.140044825712444</v>
      </c>
      <c r="BJ366" s="5">
        <v>0.385384835760051</v>
      </c>
      <c r="BK366" s="5">
        <v>-9.1988054449308701E-2</v>
      </c>
      <c r="BL366" s="5">
        <v>0.59374434036561097</v>
      </c>
      <c r="BM366" s="5">
        <v>-0.45319868925738199</v>
      </c>
      <c r="BN366" s="5">
        <v>0.35174704292068398</v>
      </c>
      <c r="BO366" s="5">
        <v>-3.0724841589695601E-2</v>
      </c>
      <c r="BP366" s="5">
        <v>0.58531163034910605</v>
      </c>
      <c r="BQ366" s="5">
        <v>-0.36224388624360698</v>
      </c>
      <c r="BR366" s="5">
        <v>9.5154030086408797E-2</v>
      </c>
      <c r="BS366" s="5">
        <v>-0.14740373592949499</v>
      </c>
      <c r="BT366" s="5">
        <v>8.0776254867369196E-3</v>
      </c>
      <c r="BU366" s="5">
        <v>-0.10896769079556901</v>
      </c>
      <c r="BV366" s="5">
        <v>6.7420573838545203E-2</v>
      </c>
      <c r="BW366" s="5">
        <v>-0.17515821054983799</v>
      </c>
      <c r="BX366" s="5">
        <v>6.2830335070940296E-2</v>
      </c>
      <c r="BY366" s="5">
        <v>-0.16386913348718099</v>
      </c>
      <c r="BZ366" s="5">
        <v>2.9021074828129202E-2</v>
      </c>
      <c r="CA366" s="5">
        <v>-0.15744101161122001</v>
      </c>
      <c r="CB366" s="5">
        <v>-4.4262425866523599E-3</v>
      </c>
      <c r="CC366" s="5">
        <v>-4.7961179686017603E-2</v>
      </c>
      <c r="CD366" s="5">
        <v>6.12300360037372E-2</v>
      </c>
      <c r="CE366" s="5">
        <v>-8.5646162473268894E-2</v>
      </c>
      <c r="CF366" s="5">
        <v>5.9434891472791601E-2</v>
      </c>
      <c r="CG366" s="5">
        <v>-0.12729679377345601</v>
      </c>
      <c r="CH366" s="5">
        <v>-0.26428592633203402</v>
      </c>
      <c r="CI366" s="5">
        <v>0.22818432781411099</v>
      </c>
      <c r="CJ366" s="5">
        <v>-4.3913621480816199E-2</v>
      </c>
      <c r="CK366" s="5">
        <v>8.7040034709840106E-3</v>
      </c>
      <c r="CL366" s="5">
        <v>0.68586970947457904</v>
      </c>
      <c r="CM366" s="5">
        <v>-0.55589750900755097</v>
      </c>
      <c r="CN366" s="5">
        <v>0.68529254870818901</v>
      </c>
      <c r="CO366" s="5">
        <v>-0.57415812116772602</v>
      </c>
      <c r="CP366" s="5">
        <v>8.3639001608097494E-2</v>
      </c>
      <c r="CQ366" s="5">
        <v>-0.113638707083109</v>
      </c>
      <c r="CR366" s="5">
        <v>4.1675376090543503E-2</v>
      </c>
      <c r="CS366" s="5">
        <v>-0.10497190291352999</v>
      </c>
      <c r="CT366" s="5">
        <v>0.60437404681904605</v>
      </c>
      <c r="CU366" s="5">
        <v>-0.50056601587804805</v>
      </c>
      <c r="CV366" s="5">
        <v>5.0585468981416901E-2</v>
      </c>
      <c r="CW366" s="5">
        <v>-0.126246006883387</v>
      </c>
      <c r="CX366" s="5">
        <v>2.60991122861844E-2</v>
      </c>
      <c r="CY366" s="5">
        <v>-0.13734328789576999</v>
      </c>
      <c r="CZ366" s="5">
        <v>9.6984081701652694E-2</v>
      </c>
      <c r="DA366" s="5">
        <v>-0.19241723017905801</v>
      </c>
      <c r="DB366" s="5">
        <v>-8.8257512808448998E-2</v>
      </c>
      <c r="DC366" s="5">
        <v>-5.0396230808444402E-2</v>
      </c>
      <c r="DD366" s="5">
        <v>0.14009454885702499</v>
      </c>
      <c r="DE366" s="5">
        <v>-0.18657950507853799</v>
      </c>
      <c r="DF366" s="5">
        <v>-6.7754748760413194E-2</v>
      </c>
      <c r="DG366" s="5">
        <v>9.8621480419572895E-3</v>
      </c>
      <c r="DH366" s="5">
        <v>0.371097148314599</v>
      </c>
      <c r="DI366" s="5">
        <v>-0.25649510617923899</v>
      </c>
      <c r="DJ366" s="5">
        <v>0.68538298542184495</v>
      </c>
      <c r="DK366" s="5">
        <v>-0.573697243871513</v>
      </c>
      <c r="DL366" s="5">
        <v>0.10713563431411401</v>
      </c>
      <c r="DM366" s="5">
        <v>-0.14721567282881201</v>
      </c>
      <c r="DN366" s="5">
        <v>0.58613324855567595</v>
      </c>
      <c r="DO366" s="5">
        <v>-0.45455663660294299</v>
      </c>
      <c r="DP366" s="5">
        <v>3.2572227008848202E-2</v>
      </c>
      <c r="DQ366" s="5">
        <v>-4.1264991830811802E-2</v>
      </c>
      <c r="DR366" s="5">
        <v>0.58386221014599404</v>
      </c>
      <c r="DS366" s="5">
        <v>-0.470489477115065</v>
      </c>
      <c r="DT366" s="5">
        <v>3.5825076508208702E-2</v>
      </c>
      <c r="DU366" s="5">
        <v>-5.1167874940710602E-2</v>
      </c>
      <c r="DV366" s="5">
        <v>9.2049848832907899E-2</v>
      </c>
      <c r="DW366" s="5">
        <v>-0.18372526983104001</v>
      </c>
      <c r="DX366" s="5">
        <v>0.58462807155385299</v>
      </c>
      <c r="DY366" s="5">
        <v>-0.44445409044553402</v>
      </c>
      <c r="DZ366" s="5">
        <v>0.59715740805012096</v>
      </c>
      <c r="EA366" s="5">
        <v>-0.36018516005505402</v>
      </c>
      <c r="EB366" s="5">
        <v>8.6126731602139905E-2</v>
      </c>
      <c r="EC366" s="5">
        <v>-0.15150374780029699</v>
      </c>
      <c r="ED366" s="5">
        <v>5.9453214497019603E-2</v>
      </c>
      <c r="EE366" s="5">
        <v>-0.11502435705712501</v>
      </c>
      <c r="EF366" s="5">
        <v>4.3143446725612399E-2</v>
      </c>
      <c r="EG366" s="5">
        <v>-0.11630890868781001</v>
      </c>
      <c r="EH366" s="5">
        <v>9.7975756960420601E-2</v>
      </c>
      <c r="EI366" s="5">
        <v>-0.196326215165294</v>
      </c>
      <c r="EJ366" s="5">
        <v>0.11549767840905099</v>
      </c>
      <c r="EK366" s="5">
        <v>-0.202862736256536</v>
      </c>
      <c r="EL366" s="5">
        <v>-4.5045234638585598E-2</v>
      </c>
      <c r="EM366" s="5">
        <v>-2.0481943264159499E-2</v>
      </c>
      <c r="EN366" s="5">
        <v>0.19632311477150999</v>
      </c>
      <c r="EO366" s="5">
        <v>-9.3198694869222998E-2</v>
      </c>
      <c r="EP366" s="5">
        <v>6.6103545419545398E-2</v>
      </c>
      <c r="EQ366" s="5">
        <v>-0.134558565341801</v>
      </c>
      <c r="ER366" s="5">
        <v>2.28881613794602E-2</v>
      </c>
      <c r="ES366" s="5">
        <v>-0.109841224347561</v>
      </c>
      <c r="ET366" s="5">
        <v>-1.21026938371901E-2</v>
      </c>
      <c r="EU366" s="5">
        <v>-0.12354569565891101</v>
      </c>
      <c r="EV366" s="5">
        <v>-1.06901101873357E-2</v>
      </c>
      <c r="EW366" s="5">
        <v>-0.14793014559675999</v>
      </c>
      <c r="EX366" s="5">
        <v>-1.5978948818351799E-2</v>
      </c>
      <c r="EY366" s="5">
        <v>-0.105142981174506</v>
      </c>
      <c r="EZ366" s="5">
        <v>4.07554285385585E-2</v>
      </c>
      <c r="FA366" s="5">
        <v>-0.13774402366656899</v>
      </c>
      <c r="FB366" s="5">
        <v>0.60506694860754695</v>
      </c>
      <c r="FC366" s="5">
        <v>-0.49509686481956899</v>
      </c>
      <c r="FD366" s="5">
        <v>-1.4593599368630601E-2</v>
      </c>
      <c r="FE366" s="5">
        <v>-5.0965618475495501E-2</v>
      </c>
      <c r="FF366" s="5">
        <v>0.70119903594295896</v>
      </c>
      <c r="FG366" s="5">
        <v>-0.59291151217177196</v>
      </c>
      <c r="FH366" s="5">
        <v>-0.137115804777932</v>
      </c>
      <c r="FI366" s="5">
        <v>0.104568890080964</v>
      </c>
      <c r="FJ366" s="5">
        <v>8.5508718038340897E-2</v>
      </c>
      <c r="FK366" s="5">
        <v>-0.18086048579908701</v>
      </c>
      <c r="FL366" s="5">
        <v>0.51009158343605698</v>
      </c>
      <c r="FM366" s="5">
        <v>-0.30163813750236701</v>
      </c>
      <c r="FN366" s="5">
        <v>0.22409293046266601</v>
      </c>
      <c r="FO366" s="5">
        <v>-0.21316286498182799</v>
      </c>
      <c r="FP366" s="5">
        <v>-6.7183076861851598E-2</v>
      </c>
      <c r="FQ366" s="5">
        <v>-2.0437128830655901E-2</v>
      </c>
      <c r="FR366" s="5">
        <v>4.4899738583547899E-2</v>
      </c>
      <c r="FS366" s="5">
        <v>0.206398416288087</v>
      </c>
      <c r="FT366" s="5">
        <v>2.28006564207901E-2</v>
      </c>
      <c r="FU366" s="5">
        <v>-0.106053369836249</v>
      </c>
      <c r="FV366" s="5">
        <v>0.48593822310432699</v>
      </c>
      <c r="FW366" s="5">
        <v>-0.40067230106247198</v>
      </c>
      <c r="FX366" s="5">
        <v>-0.11775745454245901</v>
      </c>
      <c r="FY366" s="5">
        <v>6.0270937275145403E-2</v>
      </c>
      <c r="FZ366" s="5">
        <v>6.3096623549429798E-2</v>
      </c>
      <c r="GA366" s="5">
        <v>-0.14456845457453299</v>
      </c>
      <c r="GB366" s="5">
        <v>0.69641180760843202</v>
      </c>
      <c r="GC366" s="5">
        <v>-0.63782946228057602</v>
      </c>
      <c r="GD366" s="5">
        <v>0.62575592392847801</v>
      </c>
      <c r="GE366" s="5">
        <v>-0.456724817532352</v>
      </c>
      <c r="GF366" s="5">
        <v>-1.8987174505877901E-4</v>
      </c>
      <c r="GG366" s="5">
        <v>-0.102558148259207</v>
      </c>
      <c r="GH366" s="5">
        <v>0.21847778511589799</v>
      </c>
      <c r="GI366" s="5">
        <v>0.130778798620513</v>
      </c>
      <c r="GJ366" s="5">
        <v>-5.9615523219924103E-2</v>
      </c>
      <c r="GK366" s="5">
        <v>-3.3026640785945E-2</v>
      </c>
      <c r="GL366" s="5">
        <v>4.98191008132867E-2</v>
      </c>
      <c r="GM366" s="5">
        <v>-0.132828687804385</v>
      </c>
      <c r="GN366" s="5">
        <v>0.62510248780664202</v>
      </c>
      <c r="GO366" s="5">
        <v>-0.57736449259508704</v>
      </c>
      <c r="GP366" s="5">
        <v>-8.0395683047053801E-2</v>
      </c>
      <c r="GQ366" s="5">
        <v>-6.7567542026689506E-2</v>
      </c>
      <c r="GR366" s="5">
        <v>1.4962326236597901E-2</v>
      </c>
      <c r="GS366" s="5">
        <v>-9.0752817986220702E-2</v>
      </c>
      <c r="GT366" s="5">
        <v>0.20780052430860099</v>
      </c>
      <c r="GU366" s="5">
        <v>-0.132314035110595</v>
      </c>
      <c r="GV366" s="5">
        <v>4.49933996277967E-2</v>
      </c>
      <c r="GW366" s="5">
        <v>-9.0403942429644002E-2</v>
      </c>
      <c r="GX366" s="5">
        <v>-7.2483757372591398E-2</v>
      </c>
      <c r="GY366" s="5">
        <v>-4.3249097447189203E-2</v>
      </c>
      <c r="GZ366" s="5">
        <v>0.60913993217640705</v>
      </c>
      <c r="HA366" s="5">
        <v>-0.47420393683516798</v>
      </c>
      <c r="HB366" s="5">
        <v>-0.14631215871180001</v>
      </c>
      <c r="HC366" s="5">
        <v>2.91287323100042E-2</v>
      </c>
      <c r="HD366" s="5">
        <v>0.39656685902223199</v>
      </c>
      <c r="HE366" s="5">
        <v>-0.14705854986108599</v>
      </c>
      <c r="HF366" s="5">
        <v>0.75837940632751599</v>
      </c>
      <c r="HG366" s="5">
        <v>-0.65177363695283497</v>
      </c>
      <c r="HH366" s="5">
        <v>0.63694491188479796</v>
      </c>
      <c r="HI366" s="5">
        <v>-0.52303561530232001</v>
      </c>
      <c r="HJ366" s="5">
        <v>0.731338779190702</v>
      </c>
      <c r="HK366" s="5">
        <v>-0.62385995362862501</v>
      </c>
      <c r="HL366" s="5">
        <v>9.7783056294508106E-2</v>
      </c>
      <c r="HM366" s="5">
        <v>-7.5162307338987405E-2</v>
      </c>
      <c r="HN366" s="5">
        <v>0.85665567376611096</v>
      </c>
      <c r="HO366" s="5">
        <v>-0.78016829020649103</v>
      </c>
      <c r="HP366" s="5">
        <v>1.6184772062819801E-2</v>
      </c>
      <c r="HQ366" s="5">
        <v>-0.112634449765669</v>
      </c>
      <c r="HR366" s="5">
        <v>-5.3560714732587202E-2</v>
      </c>
      <c r="HS366" s="5">
        <v>2.38529341256975E-2</v>
      </c>
      <c r="HT366" s="5">
        <v>0.63846828097734598</v>
      </c>
      <c r="HU366" s="5">
        <v>-0.48104451715975799</v>
      </c>
      <c r="HV366" s="5">
        <v>6.5451320010462305E-2</v>
      </c>
      <c r="HW366" s="5">
        <v>-0.16656310203167199</v>
      </c>
      <c r="HX366" s="5">
        <v>-4.3828687720921704E-3</v>
      </c>
      <c r="HY366" s="5">
        <v>-8.4138215339043601E-2</v>
      </c>
      <c r="HZ366" s="5">
        <v>0.65316813872275403</v>
      </c>
      <c r="IA366" s="5">
        <v>-0.482828201585149</v>
      </c>
      <c r="IB366" s="5">
        <v>0.39763591329748899</v>
      </c>
      <c r="IC366" s="5">
        <v>-0.220889808637039</v>
      </c>
      <c r="ID366" s="5">
        <v>0.105005322006044</v>
      </c>
      <c r="IE366" s="5">
        <v>-0.29318786901322302</v>
      </c>
      <c r="IF366" s="5">
        <v>-8.0706800313124702E-3</v>
      </c>
      <c r="IG366" s="5">
        <v>-8.8380905129486695E-2</v>
      </c>
      <c r="IH366" s="5">
        <v>3.86264738692641E-2</v>
      </c>
      <c r="II366" s="5">
        <v>-0.12017066908250799</v>
      </c>
      <c r="IJ366" s="5">
        <v>-0.135754465830245</v>
      </c>
      <c r="IK366" s="5">
        <v>0.14250105477154401</v>
      </c>
      <c r="IL366" s="5">
        <v>3.7608518458210297E-2</v>
      </c>
      <c r="IM366" s="5">
        <v>-0.17279586381526801</v>
      </c>
      <c r="IN366" s="5">
        <v>-3.3915792064096298E-2</v>
      </c>
      <c r="IO366" s="5">
        <v>-7.0426048088430296E-2</v>
      </c>
      <c r="IP366" s="5">
        <v>0.15991780886815099</v>
      </c>
      <c r="IQ366" s="5">
        <v>-0.26314584061756702</v>
      </c>
      <c r="IR366" s="5">
        <v>-0.16131593184049201</v>
      </c>
      <c r="IS366" s="5">
        <v>0.17271976007886899</v>
      </c>
      <c r="IT366" s="5">
        <v>1.65603603996969E-2</v>
      </c>
      <c r="IU366" s="5">
        <v>-0.12774301742439201</v>
      </c>
      <c r="IV366" s="5">
        <v>0.12895761008534301</v>
      </c>
      <c r="IW366" s="5">
        <v>-0.19516563880107801</v>
      </c>
      <c r="IX366" s="5">
        <v>6.6183265502835695E-2</v>
      </c>
      <c r="IY366" s="5">
        <v>-0.16254221951085501</v>
      </c>
      <c r="IZ366" s="5">
        <v>0.61632062381658204</v>
      </c>
      <c r="JA366" s="5">
        <v>-0.50350548635800696</v>
      </c>
      <c r="JB366" s="5">
        <v>0.54839343270484198</v>
      </c>
      <c r="JC366" s="5">
        <v>-0.43833301142952202</v>
      </c>
      <c r="JD366" s="5">
        <v>0.451352701405006</v>
      </c>
      <c r="JE366" s="5">
        <v>-0.34319149719162101</v>
      </c>
      <c r="JF366" s="5">
        <v>8.2462635204886003E-2</v>
      </c>
      <c r="JG366" s="5">
        <v>-0.152276336427212</v>
      </c>
      <c r="JH366" s="5">
        <v>0.39382880780772</v>
      </c>
      <c r="JI366" s="5">
        <v>-0.15272836818465901</v>
      </c>
      <c r="JJ366" s="5">
        <v>1.90495578881319E-2</v>
      </c>
      <c r="JK366" s="5">
        <v>-0.14239817148159201</v>
      </c>
      <c r="JL366" s="5">
        <v>0.136001755065289</v>
      </c>
      <c r="JM366" s="5">
        <v>-0.20412449967122201</v>
      </c>
      <c r="JN366" s="5">
        <v>4.8631730425822098E-2</v>
      </c>
      <c r="JO366" s="5">
        <v>-0.13604715689288399</v>
      </c>
      <c r="JP366" s="5">
        <v>5.0908685106549501E-2</v>
      </c>
      <c r="JQ366" s="5">
        <v>-0.142076214490679</v>
      </c>
      <c r="JR366" s="5">
        <v>-5.0873003382247498E-2</v>
      </c>
      <c r="JS366" s="5">
        <v>-7.7715987008194196E-2</v>
      </c>
      <c r="JT366" s="5">
        <v>-5.3241535023010399E-2</v>
      </c>
      <c r="JU366" s="5">
        <v>-4.4220811413379097E-3</v>
      </c>
      <c r="JV366" s="5">
        <v>-0.15545555457009899</v>
      </c>
      <c r="JW366" s="5">
        <v>0.12997908504873501</v>
      </c>
      <c r="JX366" s="5">
        <v>0.77001158781235801</v>
      </c>
      <c r="JY366" s="5">
        <v>-0.65780267286608396</v>
      </c>
      <c r="JZ366" s="5">
        <v>1.6925100045418001E-2</v>
      </c>
      <c r="KA366" s="5">
        <v>-8.1976252084230705E-2</v>
      </c>
      <c r="KB366" s="5">
        <v>0.70823455275353497</v>
      </c>
      <c r="KC366" s="5">
        <v>-0.56304826149741505</v>
      </c>
      <c r="KD366" s="5">
        <v>0.21409695467628401</v>
      </c>
      <c r="KE366" s="5">
        <v>-0.125554905440837</v>
      </c>
      <c r="KF366" s="5">
        <v>-0.102791171683287</v>
      </c>
      <c r="KG366" s="5">
        <v>0.15644980483631701</v>
      </c>
      <c r="KH366" s="5">
        <v>5.1295633636704502E-2</v>
      </c>
      <c r="KI366" s="5">
        <v>-0.109215374334104</v>
      </c>
      <c r="KJ366" s="5">
        <v>-0.168320457469256</v>
      </c>
      <c r="KK366" s="5">
        <v>2.3922317290032299E-2</v>
      </c>
      <c r="KL366" s="5">
        <v>2.8655053038517099E-2</v>
      </c>
      <c r="KM366" s="5">
        <v>0.12654046893909601</v>
      </c>
      <c r="KN366" s="5">
        <v>0.82343295766314695</v>
      </c>
      <c r="KO366" s="5">
        <v>-0.70620731354793698</v>
      </c>
      <c r="KP366" s="5">
        <v>0.59952716698641895</v>
      </c>
      <c r="KQ366" s="5">
        <v>-0.47911903950497298</v>
      </c>
      <c r="KR366" s="5">
        <v>0.16989578162990199</v>
      </c>
      <c r="KS366" s="5">
        <v>-0.16221172938673201</v>
      </c>
      <c r="KT366" s="5">
        <v>-8.6538415085707504E-2</v>
      </c>
      <c r="KU366" s="5">
        <v>-1.97925849003966E-2</v>
      </c>
      <c r="KV366" s="5">
        <v>6.02029928205218E-2</v>
      </c>
      <c r="KW366" s="5">
        <v>-0.16736090040586099</v>
      </c>
      <c r="KX366" s="5">
        <v>7.0870132151464704E-2</v>
      </c>
      <c r="KY366" s="5">
        <v>-0.165577564182144</v>
      </c>
      <c r="KZ366" s="5">
        <v>-0.120323332716717</v>
      </c>
      <c r="LA366" s="5">
        <v>0.12645966784197701</v>
      </c>
      <c r="LB366" s="5">
        <v>-1.0817194816360599E-2</v>
      </c>
      <c r="LC366" s="5">
        <v>-4.8350175774564498E-2</v>
      </c>
      <c r="LD366" s="5">
        <v>1.9870554703771401E-2</v>
      </c>
      <c r="LE366" s="5">
        <v>-0.11015795922947</v>
      </c>
      <c r="LF366" s="5">
        <v>0.61601322416971005</v>
      </c>
      <c r="LG366" s="5">
        <v>-0.52564224516447</v>
      </c>
      <c r="LH366" s="5">
        <v>4.7785488361374397E-2</v>
      </c>
      <c r="LI366" s="5">
        <v>-0.16101571963346201</v>
      </c>
      <c r="LJ366" s="5">
        <v>0.66625487960417296</v>
      </c>
      <c r="LK366" s="5">
        <v>-0.53792594997502796</v>
      </c>
      <c r="LL366" s="5">
        <v>-4.5542936511013196E-3</v>
      </c>
      <c r="LM366" s="5">
        <v>-8.4782546744522305E-2</v>
      </c>
      <c r="LN366" s="5">
        <v>5.9422195936795201E-2</v>
      </c>
      <c r="LO366" s="5">
        <v>-0.103214705284891</v>
      </c>
      <c r="LP366" s="5">
        <v>-4.2011638829875401E-2</v>
      </c>
      <c r="LQ366" s="5">
        <v>-0.11387445744050299</v>
      </c>
      <c r="LR366" s="5">
        <v>0.71829293208994605</v>
      </c>
      <c r="LS366" s="5">
        <v>-0.57758672299079095</v>
      </c>
      <c r="LT366" s="5">
        <v>0.66542179906195098</v>
      </c>
      <c r="LU366" s="5">
        <v>-0.51603839937955098</v>
      </c>
      <c r="LV366" s="5">
        <v>0.52647755201257496</v>
      </c>
      <c r="LW366" s="5">
        <v>-0.422211567595766</v>
      </c>
      <c r="LX366" s="5">
        <v>4.9072433874345997E-2</v>
      </c>
      <c r="LY366" s="5">
        <v>-8.3132823284510701E-2</v>
      </c>
      <c r="LZ366" s="5">
        <v>1.7774742778830399E-2</v>
      </c>
      <c r="MA366" s="5">
        <v>-0.125138731283331</v>
      </c>
      <c r="MB366" s="5">
        <v>0.117001461272909</v>
      </c>
      <c r="MC366" s="5">
        <v>-0.18905668566572401</v>
      </c>
      <c r="MD366" s="5">
        <v>-4.2773509558878299E-2</v>
      </c>
      <c r="ME366" s="5">
        <v>-2.51557050203969E-2</v>
      </c>
      <c r="MF366" s="5">
        <v>0.24290947225090501</v>
      </c>
      <c r="MG366" s="5">
        <v>0.15858704345177499</v>
      </c>
      <c r="MH366" s="5">
        <v>0.23128755881348501</v>
      </c>
      <c r="MI366" s="5">
        <v>-0.185164319695521</v>
      </c>
      <c r="MJ366" s="5">
        <v>-0.26442016985185401</v>
      </c>
      <c r="MK366" s="5">
        <v>0.24588502112826199</v>
      </c>
      <c r="ML366" s="5">
        <v>-1.39908680515547E-2</v>
      </c>
      <c r="MM366" s="5">
        <v>9.0202180159672907E-2</v>
      </c>
      <c r="MN366" s="5">
        <v>9.4956198883782303E-2</v>
      </c>
      <c r="MO366" s="5">
        <v>-0.15998383593239601</v>
      </c>
      <c r="MP366" s="5">
        <v>-6.3550581594060598E-3</v>
      </c>
      <c r="MQ366" s="5">
        <v>-4.92539002047018E-2</v>
      </c>
      <c r="MR366" s="5">
        <v>0.55290030686551295</v>
      </c>
      <c r="MS366" s="5">
        <v>-0.42385067386452102</v>
      </c>
      <c r="MT366" s="5">
        <v>0.18222080740020699</v>
      </c>
      <c r="MU366" s="5">
        <v>-0.19517254002178799</v>
      </c>
      <c r="MV366" s="5">
        <v>3.6571605086231501E-2</v>
      </c>
      <c r="MW366" s="5">
        <v>-3.4371302682199699E-2</v>
      </c>
      <c r="MX366" s="5">
        <v>0.100036884591874</v>
      </c>
      <c r="MY366" s="5">
        <v>-0.207387452245749</v>
      </c>
      <c r="MZ366" s="5">
        <v>1.9283461321548401E-2</v>
      </c>
      <c r="NA366" s="5">
        <v>-5.7813109736251998E-2</v>
      </c>
      <c r="NB366" s="5">
        <v>1</v>
      </c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</row>
    <row r="367" spans="1:389" x14ac:dyDescent="0.45">
      <c r="A367" s="4" t="str">
        <f ca="1">"UKR / beta2dist in "&amp;CELL("address",'damages-1990'!$K$184)</f>
        <v>UKR / beta2dist in '[BHM betas v3pd.xlsx]damages-1990'!$K$184</v>
      </c>
      <c r="B367" s="6">
        <v>-0.106146889369549</v>
      </c>
      <c r="C367" s="5">
        <v>0.18692182058867199</v>
      </c>
      <c r="D367" s="5">
        <v>-0.149216095283322</v>
      </c>
      <c r="E367" s="5">
        <v>0.38838215525769998</v>
      </c>
      <c r="F367" s="5">
        <v>-0.26971528946710499</v>
      </c>
      <c r="G367" s="5">
        <v>0.34654012242535498</v>
      </c>
      <c r="H367" s="5">
        <v>-0.35641415384756697</v>
      </c>
      <c r="I367" s="5">
        <v>0.33435133463824301</v>
      </c>
      <c r="J367" s="5">
        <v>0.18219409070152501</v>
      </c>
      <c r="K367" s="5">
        <v>6.5517826190966098E-3</v>
      </c>
      <c r="L367" s="5">
        <v>1.1094947446354499E-2</v>
      </c>
      <c r="M367" s="5">
        <v>7.1142422244852201E-3</v>
      </c>
      <c r="N367" s="5">
        <v>-0.27037866083519102</v>
      </c>
      <c r="O367" s="5">
        <v>0.17479285176711601</v>
      </c>
      <c r="P367" s="5">
        <v>-3.1792189721605003E-2</v>
      </c>
      <c r="Q367" s="5">
        <v>0.183008237116871</v>
      </c>
      <c r="R367" s="5">
        <v>0.133210860516247</v>
      </c>
      <c r="S367" s="5">
        <v>5.70555655069842E-2</v>
      </c>
      <c r="T367" s="5">
        <v>-0.55245098982701302</v>
      </c>
      <c r="U367" s="5">
        <v>0.57487880530936497</v>
      </c>
      <c r="V367" s="5">
        <v>-0.16743573404756901</v>
      </c>
      <c r="W367" s="5">
        <v>0.28331562551539402</v>
      </c>
      <c r="X367" s="5">
        <v>-7.4578407419900794E-2</v>
      </c>
      <c r="Y367" s="5">
        <v>0.23388460818069401</v>
      </c>
      <c r="Z367" s="5">
        <v>-0.46265828105832801</v>
      </c>
      <c r="AA367" s="5">
        <v>0.56333704922187</v>
      </c>
      <c r="AB367" s="5">
        <v>-0.109499433151327</v>
      </c>
      <c r="AC367" s="5">
        <v>0.239465867050908</v>
      </c>
      <c r="AD367" s="5">
        <v>-0.11489252932355599</v>
      </c>
      <c r="AE367" s="5">
        <v>0.24083177711430701</v>
      </c>
      <c r="AF367" s="5">
        <v>6.2188431309123597E-2</v>
      </c>
      <c r="AG367" s="5">
        <v>0.11280915919483001</v>
      </c>
      <c r="AH367" s="5">
        <v>-0.455468160491245</v>
      </c>
      <c r="AI367" s="5">
        <v>0.55284551645859903</v>
      </c>
      <c r="AJ367" s="5">
        <v>0.219663946197659</v>
      </c>
      <c r="AK367" s="5">
        <v>-2.4716117854360199E-3</v>
      </c>
      <c r="AL367" s="5">
        <v>0.37253235642497201</v>
      </c>
      <c r="AM367" s="5">
        <v>-0.328953310249608</v>
      </c>
      <c r="AN367" s="5">
        <v>-0.48409777965974099</v>
      </c>
      <c r="AO367" s="5">
        <v>0.55156271596183204</v>
      </c>
      <c r="AP367" s="5">
        <v>-0.76884233449543204</v>
      </c>
      <c r="AQ367" s="5">
        <v>0.82947631633549301</v>
      </c>
      <c r="AR367" s="5">
        <v>8.6120410189937893E-2</v>
      </c>
      <c r="AS367" s="5">
        <v>8.82593332852111E-2</v>
      </c>
      <c r="AT367" s="5">
        <v>0.41862736457641497</v>
      </c>
      <c r="AU367" s="5">
        <v>-0.37995368183012501</v>
      </c>
      <c r="AV367" s="5">
        <v>0.13743096814960101</v>
      </c>
      <c r="AW367" s="5">
        <v>6.9524480480154499E-2</v>
      </c>
      <c r="AX367" s="5">
        <v>0.116565688552574</v>
      </c>
      <c r="AY367" s="5">
        <v>0.122851204130315</v>
      </c>
      <c r="AZ367" s="5">
        <v>-7.2674772275799507E-2</v>
      </c>
      <c r="BA367" s="5">
        <v>0.189901359921682</v>
      </c>
      <c r="BB367" s="5">
        <v>-2.3571443678387601E-2</v>
      </c>
      <c r="BC367" s="5">
        <v>0.29523011725520798</v>
      </c>
      <c r="BD367" s="5">
        <v>-0.24172833255322701</v>
      </c>
      <c r="BE367" s="5">
        <v>0.293562534513855</v>
      </c>
      <c r="BF367" s="5">
        <v>-0.100608212407577</v>
      </c>
      <c r="BG367" s="5">
        <v>0.31559895125665899</v>
      </c>
      <c r="BH367" s="5">
        <v>-1.86363256867434E-2</v>
      </c>
      <c r="BI367" s="5">
        <v>0.20014201390956399</v>
      </c>
      <c r="BJ367" s="5">
        <v>-0.32971402230617802</v>
      </c>
      <c r="BK367" s="5">
        <v>0.14059124149774099</v>
      </c>
      <c r="BL367" s="5">
        <v>-0.49930184787128601</v>
      </c>
      <c r="BM367" s="5">
        <v>0.52138233194526395</v>
      </c>
      <c r="BN367" s="5">
        <v>-0.108308164015498</v>
      </c>
      <c r="BO367" s="5">
        <v>-1.6060873760820899E-2</v>
      </c>
      <c r="BP367" s="5">
        <v>-0.34385217128491702</v>
      </c>
      <c r="BQ367" s="5">
        <v>0.30672111108185801</v>
      </c>
      <c r="BR367" s="5">
        <v>-8.8532387644321503E-2</v>
      </c>
      <c r="BS367" s="5">
        <v>0.21027080760356701</v>
      </c>
      <c r="BT367" s="5">
        <v>5.1724135613814101E-2</v>
      </c>
      <c r="BU367" s="5">
        <v>0.15169362068610001</v>
      </c>
      <c r="BV367" s="5">
        <v>-1.9868625888494501E-2</v>
      </c>
      <c r="BW367" s="5">
        <v>0.22072963860227601</v>
      </c>
      <c r="BX367" s="5">
        <v>-3.9223252134262601E-2</v>
      </c>
      <c r="BY367" s="5">
        <v>0.22297397264045499</v>
      </c>
      <c r="BZ367" s="5">
        <v>-8.7137453756870196E-4</v>
      </c>
      <c r="CA367" s="5">
        <v>0.20755478949995601</v>
      </c>
      <c r="CB367" s="5">
        <v>4.6590057870222197E-2</v>
      </c>
      <c r="CC367" s="5">
        <v>6.7171530623532594E-2</v>
      </c>
      <c r="CD367" s="5">
        <v>2.2757967512990401E-2</v>
      </c>
      <c r="CE367" s="5">
        <v>6.0396726410398803E-2</v>
      </c>
      <c r="CF367" s="5">
        <v>-4.9184708155947297E-2</v>
      </c>
      <c r="CG367" s="5">
        <v>0.170086968988786</v>
      </c>
      <c r="CH367" s="5">
        <v>0.33334784951455998</v>
      </c>
      <c r="CI367" s="5">
        <v>-0.26073706776372002</v>
      </c>
      <c r="CJ367" s="5">
        <v>0.177187490947078</v>
      </c>
      <c r="CK367" s="5">
        <v>-3.8055618090611198E-2</v>
      </c>
      <c r="CL367" s="5">
        <v>-0.56794892000361796</v>
      </c>
      <c r="CM367" s="5">
        <v>0.63221168254975701</v>
      </c>
      <c r="CN367" s="5">
        <v>-0.54587085704838401</v>
      </c>
      <c r="CO367" s="5">
        <v>0.64427420523583701</v>
      </c>
      <c r="CP367" s="5">
        <v>-8.0134222685961903E-2</v>
      </c>
      <c r="CQ367" s="5">
        <v>0.14604926033663801</v>
      </c>
      <c r="CR367" s="5">
        <v>-3.6549391798119599E-2</v>
      </c>
      <c r="CS367" s="5">
        <v>0.173334341281246</v>
      </c>
      <c r="CT367" s="5">
        <v>-0.54052281457033802</v>
      </c>
      <c r="CU367" s="5">
        <v>0.60283577658892495</v>
      </c>
      <c r="CV367" s="5">
        <v>-2.24990041605704E-2</v>
      </c>
      <c r="CW367" s="5">
        <v>0.16035660744501801</v>
      </c>
      <c r="CX367" s="5">
        <v>6.2766893425753895E-2</v>
      </c>
      <c r="CY367" s="5">
        <v>0.14818123065719799</v>
      </c>
      <c r="CZ367" s="5">
        <v>-6.5618513293278502E-2</v>
      </c>
      <c r="DA367" s="5">
        <v>0.25267625853771902</v>
      </c>
      <c r="DB367" s="5">
        <v>0.20224077124946499</v>
      </c>
      <c r="DC367" s="5">
        <v>4.0693931291743E-2</v>
      </c>
      <c r="DD367" s="5">
        <v>-0.113215183466624</v>
      </c>
      <c r="DE367" s="5">
        <v>0.217150308658595</v>
      </c>
      <c r="DF367" s="5">
        <v>0.189893045707237</v>
      </c>
      <c r="DG367" s="5">
        <v>-5.4727119957548601E-2</v>
      </c>
      <c r="DH367" s="5">
        <v>-0.103326365319117</v>
      </c>
      <c r="DI367" s="5">
        <v>0.18444263041964801</v>
      </c>
      <c r="DJ367" s="5">
        <v>-0.648136265814515</v>
      </c>
      <c r="DK367" s="5">
        <v>0.690385925155243</v>
      </c>
      <c r="DL367" s="5">
        <v>-4.9954569319220897E-2</v>
      </c>
      <c r="DM367" s="5">
        <v>0.18931923553588201</v>
      </c>
      <c r="DN367" s="5">
        <v>-0.563557490019025</v>
      </c>
      <c r="DO367" s="5">
        <v>0.57217999127391905</v>
      </c>
      <c r="DP367" s="5">
        <v>6.18391893775413E-2</v>
      </c>
      <c r="DQ367" s="5">
        <v>2.1961918458519501E-2</v>
      </c>
      <c r="DR367" s="5">
        <v>-0.35269631307242399</v>
      </c>
      <c r="DS367" s="5">
        <v>0.45922347045251299</v>
      </c>
      <c r="DT367" s="5">
        <v>-3.4759882503676703E-2</v>
      </c>
      <c r="DU367" s="5">
        <v>7.7602562500181896E-2</v>
      </c>
      <c r="DV367" s="5">
        <v>-7.5088540536035905E-2</v>
      </c>
      <c r="DW367" s="5">
        <v>0.23272318865218999</v>
      </c>
      <c r="DX367" s="5">
        <v>-0.42497562974127601</v>
      </c>
      <c r="DY367" s="5">
        <v>0.458543679178395</v>
      </c>
      <c r="DZ367" s="5">
        <v>-0.396674663395994</v>
      </c>
      <c r="EA367" s="5">
        <v>0.36855781730001702</v>
      </c>
      <c r="EB367" s="5">
        <v>-7.2175773002738502E-2</v>
      </c>
      <c r="EC367" s="5">
        <v>0.20232053768178401</v>
      </c>
      <c r="ED367" s="5">
        <v>-2.55523219826524E-2</v>
      </c>
      <c r="EE367" s="5">
        <v>0.166197374106963</v>
      </c>
      <c r="EF367" s="5">
        <v>-5.2568356520170702E-2</v>
      </c>
      <c r="EG367" s="5">
        <v>0.18778220234946699</v>
      </c>
      <c r="EH367" s="5">
        <v>-3.3342395332463998E-2</v>
      </c>
      <c r="EI367" s="5">
        <v>0.21370215202533399</v>
      </c>
      <c r="EJ367" s="5">
        <v>-5.0586755353620901E-2</v>
      </c>
      <c r="EK367" s="5">
        <v>0.22648799719333601</v>
      </c>
      <c r="EL367" s="5">
        <v>0.119966981223074</v>
      </c>
      <c r="EM367" s="5">
        <v>2.6722078804474601E-2</v>
      </c>
      <c r="EN367" s="5">
        <v>3.7626273342530901E-2</v>
      </c>
      <c r="EO367" s="5">
        <v>2.3016877262483498E-2</v>
      </c>
      <c r="EP367" s="5">
        <v>-6.1799746356457998E-2</v>
      </c>
      <c r="EQ367" s="5">
        <v>0.182198543275543</v>
      </c>
      <c r="ER367" s="5">
        <v>3.1949794144361603E-2</v>
      </c>
      <c r="ES367" s="5">
        <v>0.15298743208776799</v>
      </c>
      <c r="ET367" s="5">
        <v>4.13975636500091E-2</v>
      </c>
      <c r="EU367" s="5">
        <v>0.16479311288660101</v>
      </c>
      <c r="EV367" s="5">
        <v>3.6768159861683303E-2</v>
      </c>
      <c r="EW367" s="5">
        <v>0.193038550105542</v>
      </c>
      <c r="EX367" s="5">
        <v>9.8633556479145401E-2</v>
      </c>
      <c r="EY367" s="5">
        <v>0.110881926662495</v>
      </c>
      <c r="EZ367" s="5">
        <v>-2.2594851505907702E-3</v>
      </c>
      <c r="FA367" s="5">
        <v>0.194155502757209</v>
      </c>
      <c r="FB367" s="5">
        <v>-0.37258618702639801</v>
      </c>
      <c r="FC367" s="5">
        <v>0.478054765156607</v>
      </c>
      <c r="FD367" s="5">
        <v>6.2454924479311599E-2</v>
      </c>
      <c r="FE367" s="5">
        <v>6.5762880007022004E-2</v>
      </c>
      <c r="FF367" s="5">
        <v>-0.49851466617802798</v>
      </c>
      <c r="FG367" s="5">
        <v>0.60580604618735501</v>
      </c>
      <c r="FH367" s="5">
        <v>0.23036373555772999</v>
      </c>
      <c r="FI367" s="5">
        <v>-0.14499145537246599</v>
      </c>
      <c r="FJ367" s="5">
        <v>-2.7603115584997999E-3</v>
      </c>
      <c r="FK367" s="5">
        <v>0.202463250422214</v>
      </c>
      <c r="FL367" s="5">
        <v>-0.304719984703891</v>
      </c>
      <c r="FM367" s="5">
        <v>0.26752031957064298</v>
      </c>
      <c r="FN367" s="5">
        <v>-5.1905830059526002E-2</v>
      </c>
      <c r="FO367" s="5">
        <v>0.194578105482443</v>
      </c>
      <c r="FP367" s="5">
        <v>0.171145037478558</v>
      </c>
      <c r="FQ367" s="5">
        <v>7.67289631859074E-3</v>
      </c>
      <c r="FR367" s="5">
        <v>9.0165963379958594E-2</v>
      </c>
      <c r="FS367" s="5">
        <v>-0.247880540699323</v>
      </c>
      <c r="FT367" s="5">
        <v>0.115966109980517</v>
      </c>
      <c r="FU367" s="5">
        <v>9.1501712147164904E-2</v>
      </c>
      <c r="FV367" s="5">
        <v>-0.21173388239475799</v>
      </c>
      <c r="FW367" s="5">
        <v>0.32059670443402799</v>
      </c>
      <c r="FX367" s="5">
        <v>0.17306882059251899</v>
      </c>
      <c r="FY367" s="5">
        <v>-4.95268695752034E-2</v>
      </c>
      <c r="FZ367" s="5">
        <v>9.1957078689543503E-2</v>
      </c>
      <c r="GA367" s="5">
        <v>0.12825775524987501</v>
      </c>
      <c r="GB367" s="5">
        <v>-0.45780952525637902</v>
      </c>
      <c r="GC367" s="5">
        <v>0.62690080770860301</v>
      </c>
      <c r="GD367" s="5">
        <v>-0.52216799728607599</v>
      </c>
      <c r="GE367" s="5">
        <v>0.52548003770609797</v>
      </c>
      <c r="GF367" s="5">
        <v>6.1550746380824098E-2</v>
      </c>
      <c r="GG367" s="5">
        <v>0.137447684018073</v>
      </c>
      <c r="GH367" s="5">
        <v>-3.6502856953023403E-2</v>
      </c>
      <c r="GI367" s="5">
        <v>-0.20280369771969001</v>
      </c>
      <c r="GJ367" s="5">
        <v>0.104940398121473</v>
      </c>
      <c r="GK367" s="5">
        <v>4.4590451230094599E-2</v>
      </c>
      <c r="GL367" s="5">
        <v>-6.0970561899405598E-2</v>
      </c>
      <c r="GM367" s="5">
        <v>0.19746344255885201</v>
      </c>
      <c r="GN367" s="5">
        <v>-0.344780929940043</v>
      </c>
      <c r="GO367" s="5">
        <v>0.50128438550819299</v>
      </c>
      <c r="GP367" s="5">
        <v>0.15635210512038</v>
      </c>
      <c r="GQ367" s="5">
        <v>6.65610390815531E-2</v>
      </c>
      <c r="GR367" s="5">
        <v>6.6384543396440801E-2</v>
      </c>
      <c r="GS367" s="5">
        <v>9.3228665978534506E-2</v>
      </c>
      <c r="GT367" s="5">
        <v>4.6947487528825197E-3</v>
      </c>
      <c r="GU367" s="5">
        <v>9.7976428981272998E-2</v>
      </c>
      <c r="GV367" s="5">
        <v>-4.4627103590708598E-3</v>
      </c>
      <c r="GW367" s="5">
        <v>0.123239605593554</v>
      </c>
      <c r="GX367" s="5">
        <v>0.16754544006233699</v>
      </c>
      <c r="GY367" s="5">
        <v>3.5200618719712799E-2</v>
      </c>
      <c r="GZ367" s="5">
        <v>-0.52557042851054503</v>
      </c>
      <c r="HA367" s="5">
        <v>0.55008280097205997</v>
      </c>
      <c r="HB367" s="5">
        <v>0.21801326736569401</v>
      </c>
      <c r="HC367" s="5">
        <v>-1.6396024953675498E-2</v>
      </c>
      <c r="HD367" s="5">
        <v>-0.10584305991160101</v>
      </c>
      <c r="HE367" s="5">
        <v>8.5544422596000896E-2</v>
      </c>
      <c r="HF367" s="5">
        <v>-0.69992817383742101</v>
      </c>
      <c r="HG367" s="5">
        <v>0.76171153281084003</v>
      </c>
      <c r="HH367" s="5">
        <v>-0.47097778785302302</v>
      </c>
      <c r="HI367" s="5">
        <v>0.56539862472408597</v>
      </c>
      <c r="HJ367" s="5">
        <v>-0.69553957364267005</v>
      </c>
      <c r="HK367" s="5">
        <v>0.74475285298522198</v>
      </c>
      <c r="HL367" s="5">
        <v>0.101508667361757</v>
      </c>
      <c r="HM367" s="5">
        <v>2.3325714802723899E-2</v>
      </c>
      <c r="HN367" s="5">
        <v>-0.68943706233056701</v>
      </c>
      <c r="HO367" s="5">
        <v>0.83922004382716597</v>
      </c>
      <c r="HP367" s="5">
        <v>0.11092893746248</v>
      </c>
      <c r="HQ367" s="5">
        <v>0.104164013364328</v>
      </c>
      <c r="HR367" s="5">
        <v>0.18519458003269901</v>
      </c>
      <c r="HS367" s="5">
        <v>-4.0197917640657797E-2</v>
      </c>
      <c r="HT367" s="5">
        <v>-0.40840877455823399</v>
      </c>
      <c r="HU367" s="5">
        <v>0.46838609303304501</v>
      </c>
      <c r="HV367" s="5">
        <v>-3.3573046263268999E-2</v>
      </c>
      <c r="HW367" s="5">
        <v>0.20648988550710601</v>
      </c>
      <c r="HX367" s="5">
        <v>0.11644591400566</v>
      </c>
      <c r="HY367" s="5">
        <v>6.8745341737330004E-2</v>
      </c>
      <c r="HZ367" s="5">
        <v>-0.47620234626065899</v>
      </c>
      <c r="IA367" s="5">
        <v>0.51586288771682998</v>
      </c>
      <c r="IB367" s="5">
        <v>-0.303938551857585</v>
      </c>
      <c r="IC367" s="5">
        <v>0.23168012944615099</v>
      </c>
      <c r="ID367" s="5">
        <v>-4.49138146268655E-2</v>
      </c>
      <c r="IE367" s="5">
        <v>0.34848649307167601</v>
      </c>
      <c r="IF367" s="5">
        <v>8.8764964016843195E-2</v>
      </c>
      <c r="IG367" s="5">
        <v>8.2046310284573098E-2</v>
      </c>
      <c r="IH367" s="5">
        <v>-4.5616743341340797E-2</v>
      </c>
      <c r="II367" s="5">
        <v>0.18634098349068801</v>
      </c>
      <c r="IJ367" s="5">
        <v>0.17072289222995299</v>
      </c>
      <c r="IK367" s="5">
        <v>-0.135273914017946</v>
      </c>
      <c r="IL367" s="5">
        <v>6.6053611906961407E-2</v>
      </c>
      <c r="IM367" s="5">
        <v>0.172724304143481</v>
      </c>
      <c r="IN367" s="5">
        <v>9.6899378600248803E-2</v>
      </c>
      <c r="IO367" s="5">
        <v>9.9726782036553593E-2</v>
      </c>
      <c r="IP367" s="5">
        <v>-8.4515985489230602E-2</v>
      </c>
      <c r="IQ367" s="5">
        <v>0.32388666504416702</v>
      </c>
      <c r="IR367" s="5">
        <v>0.30640995257466203</v>
      </c>
      <c r="IS367" s="5">
        <v>-0.24270207768296301</v>
      </c>
      <c r="IT367" s="5">
        <v>1.8150176297016301E-2</v>
      </c>
      <c r="IU367" s="5">
        <v>0.17051532154169299</v>
      </c>
      <c r="IV367" s="5">
        <v>-0.119512357744161</v>
      </c>
      <c r="IW367" s="5">
        <v>0.25426295483676098</v>
      </c>
      <c r="IX367" s="5">
        <v>-3.9477627370712302E-2</v>
      </c>
      <c r="IY367" s="5">
        <v>0.20905685808003799</v>
      </c>
      <c r="IZ367" s="5">
        <v>-0.48412606849344197</v>
      </c>
      <c r="JA367" s="5">
        <v>0.57410203641803503</v>
      </c>
      <c r="JB367" s="5">
        <v>-0.50979164974986602</v>
      </c>
      <c r="JC367" s="5">
        <v>0.53769099879364601</v>
      </c>
      <c r="JD367" s="5">
        <v>-0.16170371130740599</v>
      </c>
      <c r="JE367" s="5">
        <v>0.26162585433293001</v>
      </c>
      <c r="JF367" s="5">
        <v>-0.12490507779082401</v>
      </c>
      <c r="JG367" s="5">
        <v>0.23539813672540399</v>
      </c>
      <c r="JH367" s="5">
        <v>-0.10660377645491501</v>
      </c>
      <c r="JI367" s="5">
        <v>5.4176823003797003E-2</v>
      </c>
      <c r="JJ367" s="5">
        <v>5.3322668431403597E-2</v>
      </c>
      <c r="JK367" s="5">
        <v>0.17821423555403501</v>
      </c>
      <c r="JL367" s="5">
        <v>-8.0091561479418098E-3</v>
      </c>
      <c r="JM367" s="5">
        <v>0.20541246831980201</v>
      </c>
      <c r="JN367" s="5">
        <v>-3.3173350090597201E-2</v>
      </c>
      <c r="JO367" s="5">
        <v>0.184363721610145</v>
      </c>
      <c r="JP367" s="5">
        <v>5.9278921310579602E-2</v>
      </c>
      <c r="JQ367" s="5">
        <v>0.15975316587612201</v>
      </c>
      <c r="JR367" s="5">
        <v>0.15049771863870701</v>
      </c>
      <c r="JS367" s="5">
        <v>7.6970622751037193E-2</v>
      </c>
      <c r="JT367" s="5">
        <v>0.10919134054009599</v>
      </c>
      <c r="JU367" s="5">
        <v>-1.51917765098274E-2</v>
      </c>
      <c r="JV367" s="5">
        <v>0.280548437710189</v>
      </c>
      <c r="JW367" s="5">
        <v>-0.19268085132538901</v>
      </c>
      <c r="JX367" s="5">
        <v>-0.66977070847155495</v>
      </c>
      <c r="JY367" s="5">
        <v>0.75071744839863397</v>
      </c>
      <c r="JZ367" s="5">
        <v>-4.6803910983362696E-3</v>
      </c>
      <c r="KA367" s="5">
        <v>0.128805741453977</v>
      </c>
      <c r="KB367" s="5">
        <v>-0.59248401920664195</v>
      </c>
      <c r="KC367" s="5">
        <v>0.62787678813952097</v>
      </c>
      <c r="KD367" s="5">
        <v>1.1489427328343399E-2</v>
      </c>
      <c r="KE367" s="5">
        <v>6.1983477148138399E-2</v>
      </c>
      <c r="KF367" s="5">
        <v>0.18226759978198601</v>
      </c>
      <c r="KG367" s="5">
        <v>-0.20482044592731499</v>
      </c>
      <c r="KH367" s="5">
        <v>9.4850130969395402E-2</v>
      </c>
      <c r="KI367" s="5">
        <v>9.7985760640259503E-2</v>
      </c>
      <c r="KJ367" s="5">
        <v>0.25701553192334198</v>
      </c>
      <c r="KK367" s="5">
        <v>-4.3059086139746398E-2</v>
      </c>
      <c r="KL367" s="5">
        <v>0.15784556220349399</v>
      </c>
      <c r="KM367" s="5">
        <v>-0.17593481140629</v>
      </c>
      <c r="KN367" s="5">
        <v>-0.65960813591455203</v>
      </c>
      <c r="KO367" s="5">
        <v>0.76709851929752704</v>
      </c>
      <c r="KP367" s="5">
        <v>-0.55655149804692206</v>
      </c>
      <c r="KQ367" s="5">
        <v>0.56065030695483997</v>
      </c>
      <c r="KR367" s="5">
        <v>-7.4414560853642495E-2</v>
      </c>
      <c r="KS367" s="5">
        <v>0.19556455246170301</v>
      </c>
      <c r="KT367" s="5">
        <v>0.177878017076811</v>
      </c>
      <c r="KU367" s="5">
        <v>1.29788016337561E-2</v>
      </c>
      <c r="KV367" s="5">
        <v>-1.8103780681792601E-2</v>
      </c>
      <c r="KW367" s="5">
        <v>0.19916971637867301</v>
      </c>
      <c r="KX367" s="5">
        <v>-5.3986355786549596E-3</v>
      </c>
      <c r="KY367" s="5">
        <v>0.18023655763159899</v>
      </c>
      <c r="KZ367" s="5">
        <v>0.18940689757318299</v>
      </c>
      <c r="LA367" s="5">
        <v>-0.14899417831929099</v>
      </c>
      <c r="LB367" s="5">
        <v>7.6149516881175203E-2</v>
      </c>
      <c r="LC367" s="5">
        <v>6.8099772208263604E-2</v>
      </c>
      <c r="LD367" s="5">
        <v>-2.1590850600475202E-3</v>
      </c>
      <c r="LE367" s="5">
        <v>0.17155789826352899</v>
      </c>
      <c r="LF367" s="5">
        <v>-0.372931192942001</v>
      </c>
      <c r="LG367" s="5">
        <v>0.49986029220843298</v>
      </c>
      <c r="LH367" s="5">
        <v>-1.2613718674253699E-2</v>
      </c>
      <c r="LI367" s="5">
        <v>0.216161010162086</v>
      </c>
      <c r="LJ367" s="5">
        <v>-0.44770981358609302</v>
      </c>
      <c r="LK367" s="5">
        <v>0.539659608106691</v>
      </c>
      <c r="LL367" s="5">
        <v>2.70000868495496E-2</v>
      </c>
      <c r="LM367" s="5">
        <v>0.123658910351058</v>
      </c>
      <c r="LN367" s="5">
        <v>1.22937423585638E-2</v>
      </c>
      <c r="LO367" s="5">
        <v>0.12505392347896899</v>
      </c>
      <c r="LP367" s="5">
        <v>8.2352267524341299E-2</v>
      </c>
      <c r="LQ367" s="5">
        <v>0.14216191256240701</v>
      </c>
      <c r="LR367" s="5">
        <v>-0.60658052175857302</v>
      </c>
      <c r="LS367" s="5">
        <v>0.65574475354964801</v>
      </c>
      <c r="LT367" s="5">
        <v>-0.50007407753892497</v>
      </c>
      <c r="LU367" s="5">
        <v>0.56351590921161998</v>
      </c>
      <c r="LV367" s="5">
        <v>-0.50291864710988099</v>
      </c>
      <c r="LW367" s="5">
        <v>0.52244542441170805</v>
      </c>
      <c r="LX367" s="5">
        <v>9.65984221950274E-2</v>
      </c>
      <c r="LY367" s="5">
        <v>6.8435627347291E-2</v>
      </c>
      <c r="LZ367" s="5">
        <v>1.2324240581004E-2</v>
      </c>
      <c r="MA367" s="5">
        <v>0.174344442452325</v>
      </c>
      <c r="MB367" s="5">
        <v>-0.110131712007304</v>
      </c>
      <c r="MC367" s="5">
        <v>0.24587746624422299</v>
      </c>
      <c r="MD367" s="5">
        <v>0.101043321881707</v>
      </c>
      <c r="ME367" s="5">
        <v>2.32648805244563E-2</v>
      </c>
      <c r="MF367" s="5">
        <v>-2.6962208057166901E-2</v>
      </c>
      <c r="MG367" s="5">
        <v>-0.25034876516592702</v>
      </c>
      <c r="MH367" s="5">
        <v>-2.23405591431011E-2</v>
      </c>
      <c r="MI367" s="5">
        <v>0.14725181062371201</v>
      </c>
      <c r="MJ367" s="5">
        <v>0.37665889157770199</v>
      </c>
      <c r="MK367" s="5">
        <v>-0.330662958696188</v>
      </c>
      <c r="ML367" s="5">
        <v>0.113524151261442</v>
      </c>
      <c r="MM367" s="5">
        <v>-0.13317314836969699</v>
      </c>
      <c r="MN367" s="5">
        <v>-0.121577358544133</v>
      </c>
      <c r="MO367" s="5">
        <v>0.23072176908734801</v>
      </c>
      <c r="MP367" s="5">
        <v>0.12687584973403701</v>
      </c>
      <c r="MQ367" s="5">
        <v>3.4812340911652501E-2</v>
      </c>
      <c r="MR367" s="5">
        <v>-0.28403229973314598</v>
      </c>
      <c r="MS367" s="5">
        <v>0.36117851687444502</v>
      </c>
      <c r="MT367" s="5">
        <v>-0.25945489282880801</v>
      </c>
      <c r="MU367" s="5">
        <v>0.29281074363755699</v>
      </c>
      <c r="MV367" s="5">
        <v>0.12782348783223499</v>
      </c>
      <c r="MW367" s="5">
        <v>3.9558427675742698E-2</v>
      </c>
      <c r="MX367" s="5">
        <v>-8.4764787811749294E-3</v>
      </c>
      <c r="MY367" s="5">
        <v>0.22572752614780101</v>
      </c>
      <c r="MZ367" s="5">
        <v>1.9795033052222501E-2</v>
      </c>
      <c r="NA367" s="5">
        <v>9.1551953097117E-2</v>
      </c>
      <c r="NB367" s="5">
        <v>-0.89347045463350705</v>
      </c>
      <c r="NC367" s="5">
        <v>1</v>
      </c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</row>
    <row r="368" spans="1:389" x14ac:dyDescent="0.45">
      <c r="A368" s="4" t="str">
        <f ca="1">"URY / beta1dist in "&amp;CELL("address",'damages-1990'!$J$185)</f>
        <v>URY / beta1dist in '[BHM betas v3pd.xlsx]damages-1990'!$J$185</v>
      </c>
      <c r="B368" s="6">
        <v>0.35290763787146401</v>
      </c>
      <c r="C368" s="5">
        <v>1.6036381745220402E-2</v>
      </c>
      <c r="D368" s="5">
        <v>0.40456229672183902</v>
      </c>
      <c r="E368" s="5">
        <v>-4.9710924401960503E-2</v>
      </c>
      <c r="F368" s="5">
        <v>0.322424646406477</v>
      </c>
      <c r="G368" s="5">
        <v>-5.9827176516731903E-2</v>
      </c>
      <c r="H368" s="5">
        <v>-2.0229780583507401E-4</v>
      </c>
      <c r="I368" s="5">
        <v>5.0920778190238901E-2</v>
      </c>
      <c r="J368" s="5">
        <v>0.323621128660531</v>
      </c>
      <c r="K368" s="5">
        <v>-6.7201827251242005E-2</v>
      </c>
      <c r="L368" s="5">
        <v>0.62888760689907197</v>
      </c>
      <c r="M368" s="5">
        <v>-0.384010038784598</v>
      </c>
      <c r="N368" s="5">
        <v>7.4286108704630399E-2</v>
      </c>
      <c r="O368" s="5">
        <v>7.9732788950557895E-2</v>
      </c>
      <c r="P368" s="5">
        <v>-4.50054236183959E-2</v>
      </c>
      <c r="Q368" s="5">
        <v>0.23982000269256101</v>
      </c>
      <c r="R368" s="5">
        <v>0.26035401470000002</v>
      </c>
      <c r="S368" s="5">
        <v>0.11919180751176001</v>
      </c>
      <c r="T368" s="5">
        <v>2.46233962093764E-2</v>
      </c>
      <c r="U368" s="5">
        <v>6.39458582576308E-2</v>
      </c>
      <c r="V368" s="5">
        <v>0.36969961035829702</v>
      </c>
      <c r="W368" s="5">
        <v>-2.2354989335319E-2</v>
      </c>
      <c r="X368" s="5">
        <v>0.353919026859779</v>
      </c>
      <c r="Y368" s="5">
        <v>-4.86178236221795E-2</v>
      </c>
      <c r="Z368" s="5">
        <v>9.2559037187971802E-2</v>
      </c>
      <c r="AA368" s="5">
        <v>9.7261422058182695E-2</v>
      </c>
      <c r="AB368" s="5">
        <v>0.18446910463465299</v>
      </c>
      <c r="AC368" s="5">
        <v>0.10294332797080299</v>
      </c>
      <c r="AD368" s="5">
        <v>0.23931766200479901</v>
      </c>
      <c r="AE368" s="5">
        <v>7.5147866215565504E-2</v>
      </c>
      <c r="AF368" s="5">
        <v>0.31826255643332502</v>
      </c>
      <c r="AG368" s="5">
        <v>-6.9087921067738395E-2</v>
      </c>
      <c r="AH368" s="5">
        <v>0.30595516967880199</v>
      </c>
      <c r="AI368" s="5">
        <v>-7.1219567215167603E-2</v>
      </c>
      <c r="AJ368" s="5">
        <v>0.358636215831796</v>
      </c>
      <c r="AK368" s="5">
        <v>-0.14372934431134601</v>
      </c>
      <c r="AL368" s="5">
        <v>0.234180975606577</v>
      </c>
      <c r="AM368" s="5">
        <v>-0.113221086912571</v>
      </c>
      <c r="AN368" s="5">
        <v>0.180002514186653</v>
      </c>
      <c r="AO368" s="5">
        <v>8.7473640562261996E-3</v>
      </c>
      <c r="AP368" s="5">
        <v>5.1543788576302298E-2</v>
      </c>
      <c r="AQ368" s="5">
        <v>7.4319634435058304E-2</v>
      </c>
      <c r="AR368" s="5">
        <v>0.15023567373209201</v>
      </c>
      <c r="AS368" s="5">
        <v>0.12817891516524499</v>
      </c>
      <c r="AT368" s="5">
        <v>0.358052291711208</v>
      </c>
      <c r="AU368" s="5">
        <v>-0.265819775724147</v>
      </c>
      <c r="AV368" s="5">
        <v>0.22166580891901999</v>
      </c>
      <c r="AW368" s="5">
        <v>0.171502518587206</v>
      </c>
      <c r="AX368" s="5">
        <v>0.217298830404447</v>
      </c>
      <c r="AY368" s="5">
        <v>0.10962920540755999</v>
      </c>
      <c r="AZ368" s="5">
        <v>5.2480428782390301E-2</v>
      </c>
      <c r="BA368" s="5">
        <v>0.132715642085771</v>
      </c>
      <c r="BB368" s="5">
        <v>0.21370764935727499</v>
      </c>
      <c r="BC368" s="5">
        <v>0.128904226324804</v>
      </c>
      <c r="BD368" s="5">
        <v>0.28256627577792998</v>
      </c>
      <c r="BE368" s="5">
        <v>7.5667812464396703E-2</v>
      </c>
      <c r="BF368" s="5">
        <v>0.32334893850178098</v>
      </c>
      <c r="BG368" s="5">
        <v>-2.00629692946315E-2</v>
      </c>
      <c r="BH368" s="5">
        <v>0.261563153434829</v>
      </c>
      <c r="BI368" s="5">
        <v>7.6559479569026603E-2</v>
      </c>
      <c r="BJ368" s="5">
        <v>1.3595604718183499E-2</v>
      </c>
      <c r="BK368" s="5">
        <v>-7.9147098405891195E-2</v>
      </c>
      <c r="BL368" s="5">
        <v>9.3017463722793892E-3</v>
      </c>
      <c r="BM368" s="5">
        <v>5.8714801591500998E-2</v>
      </c>
      <c r="BN368" s="5">
        <v>0.167304969994824</v>
      </c>
      <c r="BO368" s="5">
        <v>1.9470112686973699E-3</v>
      </c>
      <c r="BP368" s="5">
        <v>0.105954806750737</v>
      </c>
      <c r="BQ368" s="5">
        <v>5.7769545028126097E-2</v>
      </c>
      <c r="BR368" s="5">
        <v>0.183659499584786</v>
      </c>
      <c r="BS368" s="5">
        <v>9.4040221292164605E-2</v>
      </c>
      <c r="BT368" s="5">
        <v>0.28359771152634999</v>
      </c>
      <c r="BU368" s="5">
        <v>6.1142359338737198E-2</v>
      </c>
      <c r="BV368" s="5">
        <v>0.34328471480766398</v>
      </c>
      <c r="BW368" s="5">
        <v>-2.5962452747500701E-2</v>
      </c>
      <c r="BX368" s="5">
        <v>0.22176969376904901</v>
      </c>
      <c r="BY368" s="5">
        <v>7.7299619521670193E-2</v>
      </c>
      <c r="BZ368" s="5">
        <v>0.19538017869644</v>
      </c>
      <c r="CA368" s="5">
        <v>0.117660523724141</v>
      </c>
      <c r="CB368" s="5">
        <v>0.150305987493282</v>
      </c>
      <c r="CC368" s="5">
        <v>8.4914836992137699E-2</v>
      </c>
      <c r="CD368" s="5">
        <v>0.10562985465722199</v>
      </c>
      <c r="CE368" s="5">
        <v>0.100925050892703</v>
      </c>
      <c r="CF368" s="5">
        <v>4.6918568922611599E-2</v>
      </c>
      <c r="CG368" s="5">
        <v>0.18837402813661</v>
      </c>
      <c r="CH368" s="5">
        <v>0.15701631296365601</v>
      </c>
      <c r="CI368" s="5">
        <v>-5.3689237251798902E-2</v>
      </c>
      <c r="CJ368" s="5">
        <v>0.170264656609288</v>
      </c>
      <c r="CK368" s="5">
        <v>5.0184582761967501E-2</v>
      </c>
      <c r="CL368" s="5">
        <v>6.9623967626753894E-2</v>
      </c>
      <c r="CM368" s="5">
        <v>5.9265283164299798E-2</v>
      </c>
      <c r="CN368" s="5">
        <v>6.5856438724990599E-2</v>
      </c>
      <c r="CO368" s="5">
        <v>9.4121164145831895E-2</v>
      </c>
      <c r="CP368" s="5">
        <v>0.17969804304357001</v>
      </c>
      <c r="CQ368" s="5">
        <v>4.1838983854683098E-2</v>
      </c>
      <c r="CR368" s="5">
        <v>-1.7370313177773801E-2</v>
      </c>
      <c r="CS368" s="5">
        <v>0.24796296638937801</v>
      </c>
      <c r="CT368" s="5">
        <v>4.6145070750924201E-2</v>
      </c>
      <c r="CU368" s="5">
        <v>6.6774666483254599E-2</v>
      </c>
      <c r="CV368" s="5">
        <v>0.115868308957444</v>
      </c>
      <c r="CW368" s="5">
        <v>5.5689199711835301E-2</v>
      </c>
      <c r="CX368" s="5">
        <v>0.36423814519251801</v>
      </c>
      <c r="CY368" s="5">
        <v>-6.0229999240787001E-2</v>
      </c>
      <c r="CZ368" s="5">
        <v>0.136356935966435</v>
      </c>
      <c r="DA368" s="5">
        <v>0.15479965248248301</v>
      </c>
      <c r="DB368" s="5">
        <v>0.30036070821185001</v>
      </c>
      <c r="DC368" s="5">
        <v>-1.1118949014890999E-2</v>
      </c>
      <c r="DD368" s="5">
        <v>0.20749985732005899</v>
      </c>
      <c r="DE368" s="5">
        <v>6.3181661517440604E-2</v>
      </c>
      <c r="DF368" s="5">
        <v>0.22876093058605401</v>
      </c>
      <c r="DG368" s="5">
        <v>7.0384209825941693E-2</v>
      </c>
      <c r="DH368" s="5">
        <v>0.25855186083200998</v>
      </c>
      <c r="DI368" s="5">
        <v>9.9294010722868503E-2</v>
      </c>
      <c r="DJ368" s="5">
        <v>5.0305973808440901E-2</v>
      </c>
      <c r="DK368" s="5">
        <v>5.6832817119937498E-2</v>
      </c>
      <c r="DL368" s="5">
        <v>0.24597327213567299</v>
      </c>
      <c r="DM368" s="5">
        <v>7.3210939541517195E-2</v>
      </c>
      <c r="DN368" s="5">
        <v>-6.3256135755238599E-2</v>
      </c>
      <c r="DO368" s="5">
        <v>0.15203522332271799</v>
      </c>
      <c r="DP368" s="5">
        <v>0.41753492263413799</v>
      </c>
      <c r="DQ368" s="5">
        <v>-0.26032140267396098</v>
      </c>
      <c r="DR368" s="5">
        <v>0.18487967841202299</v>
      </c>
      <c r="DS368" s="5">
        <v>7.7133947873890302E-2</v>
      </c>
      <c r="DT368" s="5">
        <v>0.26934272250054198</v>
      </c>
      <c r="DU368" s="5">
        <v>-0.14401092458707801</v>
      </c>
      <c r="DV368" s="5">
        <v>0.162850325783857</v>
      </c>
      <c r="DW368" s="5">
        <v>0.10447877009404399</v>
      </c>
      <c r="DX368" s="5">
        <v>8.5021000894583795E-2</v>
      </c>
      <c r="DY368" s="5">
        <v>5.0442278022085799E-2</v>
      </c>
      <c r="DZ368" s="5">
        <v>0.146401408576289</v>
      </c>
      <c r="EA368" s="5">
        <v>2.70624119060675E-2</v>
      </c>
      <c r="EB368" s="5">
        <v>0.18283360270811899</v>
      </c>
      <c r="EC368" s="5">
        <v>9.57779932281667E-2</v>
      </c>
      <c r="ED368" s="5">
        <v>0.26689597182583003</v>
      </c>
      <c r="EE368" s="5">
        <v>5.3622154486463902E-2</v>
      </c>
      <c r="EF368" s="5">
        <v>-4.3042937762011298E-2</v>
      </c>
      <c r="EG368" s="5">
        <v>0.244225000642221</v>
      </c>
      <c r="EH368" s="5">
        <v>0.366598137696386</v>
      </c>
      <c r="EI368" s="5">
        <v>-6.0207470087306598E-2</v>
      </c>
      <c r="EJ368" s="5">
        <v>0.43734213751627299</v>
      </c>
      <c r="EK368" s="5">
        <v>-0.112279958150796</v>
      </c>
      <c r="EL368" s="5">
        <v>0.220541205159663</v>
      </c>
      <c r="EM368" s="5">
        <v>8.5781100992938994E-2</v>
      </c>
      <c r="EN368" s="5">
        <v>0.337705703750946</v>
      </c>
      <c r="EO368" s="5">
        <v>-8.5047582139663402E-2</v>
      </c>
      <c r="EP368" s="5">
        <v>9.6329432370390905E-2</v>
      </c>
      <c r="EQ368" s="5">
        <v>9.4164280406497006E-2</v>
      </c>
      <c r="ER368" s="5">
        <v>0.21487537150789601</v>
      </c>
      <c r="ES368" s="5">
        <v>7.6430434908255296E-2</v>
      </c>
      <c r="ET368" s="5">
        <v>0.15574197271948001</v>
      </c>
      <c r="EU368" s="5">
        <v>7.0183800676751298E-2</v>
      </c>
      <c r="EV368" s="5">
        <v>0.13628229307157999</v>
      </c>
      <c r="EW368" s="5">
        <v>0.124743927605306</v>
      </c>
      <c r="EX368" s="5">
        <v>0.18479598923011401</v>
      </c>
      <c r="EY368" s="5">
        <v>2.16007387468726E-2</v>
      </c>
      <c r="EZ368" s="5">
        <v>0.194148175711331</v>
      </c>
      <c r="FA368" s="5">
        <v>9.7605501572927897E-2</v>
      </c>
      <c r="FB368" s="5">
        <v>0.25156289763656903</v>
      </c>
      <c r="FC368" s="5">
        <v>-5.3810988170083696E-4</v>
      </c>
      <c r="FD368" s="5">
        <v>0.151362595000372</v>
      </c>
      <c r="FE368" s="5">
        <v>4.04174648624483E-2</v>
      </c>
      <c r="FF368" s="5">
        <v>0.24116044830240199</v>
      </c>
      <c r="FG368" s="5">
        <v>-2.3500977113659699E-2</v>
      </c>
      <c r="FH368" s="5">
        <v>0.26128889616913997</v>
      </c>
      <c r="FI368" s="5">
        <v>4.0176042658350598E-2</v>
      </c>
      <c r="FJ368" s="5">
        <v>0.33282937791692702</v>
      </c>
      <c r="FK368" s="5">
        <v>-6.7198047330884799E-3</v>
      </c>
      <c r="FL368" s="5">
        <v>0.117426770073981</v>
      </c>
      <c r="FM368" s="5">
        <v>2.8034674245297899E-2</v>
      </c>
      <c r="FN368" s="5">
        <v>0.50081196449322796</v>
      </c>
      <c r="FO368" s="5">
        <v>-0.21086742706946501</v>
      </c>
      <c r="FP368" s="5">
        <v>0.390178434820877</v>
      </c>
      <c r="FQ368" s="5">
        <v>-0.14511325153631499</v>
      </c>
      <c r="FR368" s="5">
        <v>3.2287016157655099E-2</v>
      </c>
      <c r="FS368" s="5">
        <v>0.13351660889769101</v>
      </c>
      <c r="FT368" s="5">
        <v>0.365095027320545</v>
      </c>
      <c r="FU368" s="5">
        <v>-7.2613972953754102E-2</v>
      </c>
      <c r="FV368" s="5">
        <v>0.30840172885714301</v>
      </c>
      <c r="FW368" s="5">
        <v>-1.8155273045343201E-2</v>
      </c>
      <c r="FX368" s="5">
        <v>0.18346015985889499</v>
      </c>
      <c r="FY368" s="5">
        <v>1.6326886117791501E-2</v>
      </c>
      <c r="FZ368" s="5">
        <v>0.38478896321984002</v>
      </c>
      <c r="GA368" s="5">
        <v>-7.2262290735303103E-2</v>
      </c>
      <c r="GB368" s="5">
        <v>0.240333788570777</v>
      </c>
      <c r="GC368" s="5">
        <v>6.8495912398238906E-2</v>
      </c>
      <c r="GD368" s="5">
        <v>9.2168030378278296E-2</v>
      </c>
      <c r="GE368" s="5">
        <v>-3.6386792622751301E-3</v>
      </c>
      <c r="GF368" s="5">
        <v>0.174325686258716</v>
      </c>
      <c r="GG368" s="5">
        <v>0.120852253431969</v>
      </c>
      <c r="GH368" s="5">
        <v>-6.0376825232793502E-2</v>
      </c>
      <c r="GI368" s="5">
        <v>6.7527251891707094E-2</v>
      </c>
      <c r="GJ368" s="5">
        <v>0.19916570501744399</v>
      </c>
      <c r="GK368" s="5">
        <v>4.21828512846475E-2</v>
      </c>
      <c r="GL368" s="5">
        <v>-2.2427906222404902E-3</v>
      </c>
      <c r="GM368" s="5">
        <v>0.182527059357107</v>
      </c>
      <c r="GN368" s="5">
        <v>0.33213081210485201</v>
      </c>
      <c r="GO368" s="5">
        <v>-5.7627269804873302E-2</v>
      </c>
      <c r="GP368" s="5">
        <v>0.405485677734158</v>
      </c>
      <c r="GQ368" s="5">
        <v>-0.17918023781338099</v>
      </c>
      <c r="GR368" s="5">
        <v>0.207304700726165</v>
      </c>
      <c r="GS368" s="5">
        <v>1.27759933066964E-2</v>
      </c>
      <c r="GT368" s="5">
        <v>0.36334781637277902</v>
      </c>
      <c r="GU368" s="5">
        <v>-6.06555507761464E-2</v>
      </c>
      <c r="GV368" s="5">
        <v>0.177596449641791</v>
      </c>
      <c r="GW368" s="5">
        <v>0.11401818090226901</v>
      </c>
      <c r="GX368" s="5">
        <v>0.37420265335263397</v>
      </c>
      <c r="GY368" s="5">
        <v>-0.14197613230299899</v>
      </c>
      <c r="GZ368" s="5">
        <v>1.8386176974676299E-3</v>
      </c>
      <c r="HA368" s="5">
        <v>6.6178709258348206E-2</v>
      </c>
      <c r="HB368" s="5">
        <v>0.20602934736050699</v>
      </c>
      <c r="HC368" s="5">
        <v>0.10228156116590199</v>
      </c>
      <c r="HD368" s="5">
        <v>0.27871166468585801</v>
      </c>
      <c r="HE368" s="5">
        <v>0.15076646527771401</v>
      </c>
      <c r="HF368" s="5">
        <v>5.5938441854912598E-2</v>
      </c>
      <c r="HG368" s="5">
        <v>5.7906585872835002E-2</v>
      </c>
      <c r="HH368" s="5">
        <v>7.8827636531199799E-2</v>
      </c>
      <c r="HI368" s="5">
        <v>9.2249745193635296E-2</v>
      </c>
      <c r="HJ368" s="5">
        <v>4.54422610729339E-2</v>
      </c>
      <c r="HK368" s="5">
        <v>6.05108666039261E-2</v>
      </c>
      <c r="HL368" s="5">
        <v>0.26067942548798201</v>
      </c>
      <c r="HM368" s="5">
        <v>0.111834674600113</v>
      </c>
      <c r="HN368" s="5">
        <v>0.215655710539704</v>
      </c>
      <c r="HO368" s="5">
        <v>1.2408370334870101E-2</v>
      </c>
      <c r="HP368" s="5">
        <v>0.52135196044461996</v>
      </c>
      <c r="HQ368" s="5">
        <v>-0.26077002688788797</v>
      </c>
      <c r="HR368" s="5">
        <v>0.47078218961840301</v>
      </c>
      <c r="HS368" s="5">
        <v>-0.21498991005672699</v>
      </c>
      <c r="HT368" s="5">
        <v>0.26449338111780601</v>
      </c>
      <c r="HU368" s="5">
        <v>-3.4475590591579897E-2</v>
      </c>
      <c r="HV368" s="5">
        <v>0.28500960141285803</v>
      </c>
      <c r="HW368" s="5">
        <v>2.7650836770354601E-2</v>
      </c>
      <c r="HX368" s="5">
        <v>0.33861106287999498</v>
      </c>
      <c r="HY368" s="5">
        <v>-5.5450859207484902E-2</v>
      </c>
      <c r="HZ368" s="5">
        <v>0.140634314197215</v>
      </c>
      <c r="IA368" s="5">
        <v>1.6244695977041399E-2</v>
      </c>
      <c r="IB368" s="5">
        <v>-1.8841037626873999E-2</v>
      </c>
      <c r="IC368" s="5">
        <v>1.2166267613326E-3</v>
      </c>
      <c r="ID368" s="5">
        <v>0.402029070668255</v>
      </c>
      <c r="IE368" s="5">
        <v>-8.6923515405303395E-2</v>
      </c>
      <c r="IF368" s="5">
        <v>0.31620880445060301</v>
      </c>
      <c r="IG368" s="5">
        <v>-4.2696717850896298E-4</v>
      </c>
      <c r="IH368" s="5">
        <v>-6.0939866511895103E-3</v>
      </c>
      <c r="II368" s="5">
        <v>0.22432366046119701</v>
      </c>
      <c r="IJ368" s="5">
        <v>3.2032147420274597E-2</v>
      </c>
      <c r="IK368" s="5">
        <v>5.2851054605405498E-2</v>
      </c>
      <c r="IL368" s="5">
        <v>0.41348776503889301</v>
      </c>
      <c r="IM368" s="5">
        <v>-0.11865623103690499</v>
      </c>
      <c r="IN368" s="5">
        <v>0.239688751396922</v>
      </c>
      <c r="IO368" s="5">
        <v>8.48692649581856E-2</v>
      </c>
      <c r="IP368" s="5">
        <v>0.28338117727272699</v>
      </c>
      <c r="IQ368" s="5">
        <v>9.7913248413759202E-2</v>
      </c>
      <c r="IR368" s="5">
        <v>0.45505125648891198</v>
      </c>
      <c r="IS368" s="5">
        <v>-0.295793898033896</v>
      </c>
      <c r="IT368" s="5">
        <v>0.27500784248306198</v>
      </c>
      <c r="IU368" s="5">
        <v>3.4393132367142899E-2</v>
      </c>
      <c r="IV368" s="5">
        <v>0.23913649085022201</v>
      </c>
      <c r="IW368" s="5">
        <v>5.5812213152196803E-2</v>
      </c>
      <c r="IX368" s="5">
        <v>0.15019486530809401</v>
      </c>
      <c r="IY368" s="5">
        <v>0.11609047027341</v>
      </c>
      <c r="IZ368" s="5">
        <v>7.1766097943360099E-2</v>
      </c>
      <c r="JA368" s="5">
        <v>9.8032387369610494E-2</v>
      </c>
      <c r="JB368" s="5">
        <v>-7.4723994999249296E-2</v>
      </c>
      <c r="JC368" s="5">
        <v>0.14663882210334001</v>
      </c>
      <c r="JD368" s="5">
        <v>0.34349352388203502</v>
      </c>
      <c r="JE368" s="5">
        <v>6.4662472497686405E-2</v>
      </c>
      <c r="JF368" s="5">
        <v>4.1615010453987598E-2</v>
      </c>
      <c r="JG368" s="5">
        <v>0.121842768143383</v>
      </c>
      <c r="JH368" s="5">
        <v>0.38138549867785299</v>
      </c>
      <c r="JI368" s="5">
        <v>-0.25326341291583399</v>
      </c>
      <c r="JJ368" s="5">
        <v>0.36420247917390097</v>
      </c>
      <c r="JK368" s="5">
        <v>-3.0687270282783199E-2</v>
      </c>
      <c r="JL368" s="5">
        <v>0.39756909081515501</v>
      </c>
      <c r="JM368" s="5">
        <v>-7.8718413357094993E-2</v>
      </c>
      <c r="JN368" s="5">
        <v>0.121847231314881</v>
      </c>
      <c r="JO368" s="5">
        <v>0.136794993758484</v>
      </c>
      <c r="JP368" s="5">
        <v>0.20419091778635501</v>
      </c>
      <c r="JQ368" s="5">
        <v>0.20485684121146999</v>
      </c>
      <c r="JR368" s="5">
        <v>0.25085370200090601</v>
      </c>
      <c r="JS368" s="5">
        <v>6.4403580172688199E-2</v>
      </c>
      <c r="JT368" s="5">
        <v>0.31001976544144699</v>
      </c>
      <c r="JU368" s="5">
        <v>-0.158876032746297</v>
      </c>
      <c r="JV368" s="5">
        <v>0.31615963837809502</v>
      </c>
      <c r="JW368" s="5">
        <v>-1.01870907812122E-4</v>
      </c>
      <c r="JX368" s="5">
        <v>9.4264650412608494E-2</v>
      </c>
      <c r="JY368" s="5">
        <v>4.1395734602262001E-2</v>
      </c>
      <c r="JZ368" s="5">
        <v>3.4145281118433603E-2</v>
      </c>
      <c r="KA368" s="5">
        <v>0.139891900368425</v>
      </c>
      <c r="KB368" s="5">
        <v>7.7370733336475803E-2</v>
      </c>
      <c r="KC368" s="5">
        <v>2.02959744474893E-2</v>
      </c>
      <c r="KD368" s="5">
        <v>0.201239137758743</v>
      </c>
      <c r="KE368" s="5">
        <v>0.11002345646935301</v>
      </c>
      <c r="KF368" s="5">
        <v>0.36713234320125798</v>
      </c>
      <c r="KG368" s="5">
        <v>-0.16317424772709799</v>
      </c>
      <c r="KH368" s="5">
        <v>0.38224024981343302</v>
      </c>
      <c r="KI368" s="5">
        <v>-8.3749336215916195E-2</v>
      </c>
      <c r="KJ368" s="5">
        <v>0.32456000064893997</v>
      </c>
      <c r="KK368" s="5">
        <v>-0.10622606857525201</v>
      </c>
      <c r="KL368" s="5">
        <v>0.194986037145358</v>
      </c>
      <c r="KM368" s="5">
        <v>-1.12551101386588E-2</v>
      </c>
      <c r="KN368" s="5">
        <v>0.17437014518654101</v>
      </c>
      <c r="KO368" s="5">
        <v>3.5151207226055498E-2</v>
      </c>
      <c r="KP368" s="5">
        <v>-9.7073572739561506E-2</v>
      </c>
      <c r="KQ368" s="5">
        <v>0.120286599556091</v>
      </c>
      <c r="KR368" s="5">
        <v>0.31959896025741702</v>
      </c>
      <c r="KS368" s="5">
        <v>-1.1394188265382001E-2</v>
      </c>
      <c r="KT368" s="5">
        <v>0.34346684399910399</v>
      </c>
      <c r="KU368" s="5">
        <v>-5.2753227825979403E-2</v>
      </c>
      <c r="KV368" s="5">
        <v>0.25580729691662502</v>
      </c>
      <c r="KW368" s="5">
        <v>5.6491941262284497E-2</v>
      </c>
      <c r="KX368" s="5">
        <v>0.37088459683730401</v>
      </c>
      <c r="KY368" s="5">
        <v>-6.1581607661723603E-2</v>
      </c>
      <c r="KZ368" s="5">
        <v>0.24760241813039099</v>
      </c>
      <c r="LA368" s="5">
        <v>-2.1138019954612699E-2</v>
      </c>
      <c r="LB368" s="5">
        <v>0.20031724065640699</v>
      </c>
      <c r="LC368" s="5">
        <v>0.119988060321483</v>
      </c>
      <c r="LD368" s="5">
        <v>0.17968794865549101</v>
      </c>
      <c r="LE368" s="5">
        <v>7.1368082277244796E-2</v>
      </c>
      <c r="LF368" s="5">
        <v>0.236328167024173</v>
      </c>
      <c r="LG368" s="5">
        <v>3.2383739181013303E-2</v>
      </c>
      <c r="LH368" s="5">
        <v>0.31255795710441697</v>
      </c>
      <c r="LI368" s="5">
        <v>-3.0709688384164698E-3</v>
      </c>
      <c r="LJ368" s="5">
        <v>0.26757669616354501</v>
      </c>
      <c r="LK368" s="5">
        <v>-2.72282758507018E-2</v>
      </c>
      <c r="LL368" s="5">
        <v>0.15330125494789801</v>
      </c>
      <c r="LM368" s="5">
        <v>0.111259751943676</v>
      </c>
      <c r="LN368" s="5">
        <v>0.10625232529891999</v>
      </c>
      <c r="LO368" s="5">
        <v>0.163723859897659</v>
      </c>
      <c r="LP368" s="5">
        <v>0.19475326511452901</v>
      </c>
      <c r="LQ368" s="5">
        <v>4.9141239831383299E-2</v>
      </c>
      <c r="LR368" s="5">
        <v>0.100394469030457</v>
      </c>
      <c r="LS368" s="5">
        <v>2.82377576525417E-2</v>
      </c>
      <c r="LT368" s="5">
        <v>0.13160939679449499</v>
      </c>
      <c r="LU368" s="5">
        <v>3.8864981931171702E-2</v>
      </c>
      <c r="LV368" s="5">
        <v>-2.5175595197110601E-2</v>
      </c>
      <c r="LW368" s="5">
        <v>8.5783732958975206E-2</v>
      </c>
      <c r="LX368" s="5">
        <v>0.36984223842430303</v>
      </c>
      <c r="LY368" s="5">
        <v>-9.8899670782979704E-2</v>
      </c>
      <c r="LZ368" s="5">
        <v>0.26904604028602103</v>
      </c>
      <c r="MA368" s="5">
        <v>3.7300841960314898E-2</v>
      </c>
      <c r="MB368" s="5">
        <v>0.171958891692372</v>
      </c>
      <c r="MC368" s="5">
        <v>0.112012690083144</v>
      </c>
      <c r="MD368" s="5">
        <v>0.22203375068962899</v>
      </c>
      <c r="ME368" s="5">
        <v>-1.7723941328931202E-2</v>
      </c>
      <c r="MF368" s="5">
        <v>-9.0262893520655099E-2</v>
      </c>
      <c r="MG368" s="5">
        <v>0.14401946007751401</v>
      </c>
      <c r="MH368" s="5">
        <v>0.42195504683895102</v>
      </c>
      <c r="MI368" s="5">
        <v>-9.0761106866794297E-2</v>
      </c>
      <c r="MJ368" s="5">
        <v>0.15482166418266699</v>
      </c>
      <c r="MK368" s="5">
        <v>2.7631613456692E-2</v>
      </c>
      <c r="ML368" s="5">
        <v>0.11269959818783599</v>
      </c>
      <c r="MM368" s="5">
        <v>7.5619417681607196E-2</v>
      </c>
      <c r="MN368" s="5">
        <v>2.61091018545472E-2</v>
      </c>
      <c r="MO368" s="5">
        <v>0.160937672336214</v>
      </c>
      <c r="MP368" s="5">
        <v>0.34634762134366498</v>
      </c>
      <c r="MQ368" s="5">
        <v>-0.100825060625662</v>
      </c>
      <c r="MR368" s="5">
        <v>0.36101553125278402</v>
      </c>
      <c r="MS368" s="5">
        <v>-0.102775404363619</v>
      </c>
      <c r="MT368" s="5">
        <v>5.0883866139159802E-2</v>
      </c>
      <c r="MU368" s="5">
        <v>4.2964077067339901E-2</v>
      </c>
      <c r="MV368" s="5">
        <v>0.42391536573022298</v>
      </c>
      <c r="MW368" s="5">
        <v>-0.10573218222363399</v>
      </c>
      <c r="MX368" s="5">
        <v>0.28484405152887698</v>
      </c>
      <c r="MY368" s="5">
        <v>3.5081500459147798E-2</v>
      </c>
      <c r="MZ368" s="5">
        <v>0.15500028145514</v>
      </c>
      <c r="NA368" s="5">
        <v>7.8944953825959605E-2</v>
      </c>
      <c r="NB368" s="5">
        <v>0.120239772175085</v>
      </c>
      <c r="NC368" s="5">
        <v>5.6620562269647901E-2</v>
      </c>
      <c r="ND368" s="5">
        <v>1</v>
      </c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</row>
    <row r="369" spans="1:389" x14ac:dyDescent="0.45">
      <c r="A369" s="4" t="str">
        <f ca="1">"URY / beta2dist in "&amp;CELL("address",'damages-1990'!$K$185)</f>
        <v>URY / beta2dist in '[BHM betas v3pd.xlsx]damages-1990'!$K$185</v>
      </c>
      <c r="B369" s="6">
        <v>-0.10783336935216301</v>
      </c>
      <c r="C369" s="5">
        <v>0.14989523207727001</v>
      </c>
      <c r="D369" s="5">
        <v>1.0775161600847E-3</v>
      </c>
      <c r="E369" s="5">
        <v>1.9700216987524701E-3</v>
      </c>
      <c r="F369" s="5">
        <v>-0.12631984556370399</v>
      </c>
      <c r="G369" s="5">
        <v>0.17191998272567299</v>
      </c>
      <c r="H369" s="5">
        <v>1.2866607753650101E-3</v>
      </c>
      <c r="I369" s="5">
        <v>-6.2462659118655998E-2</v>
      </c>
      <c r="J369" s="5">
        <v>-3.1635895781128298E-2</v>
      </c>
      <c r="K369" s="5">
        <v>0.137585020542935</v>
      </c>
      <c r="L369" s="5">
        <v>-0.30451494026888798</v>
      </c>
      <c r="M369" s="5">
        <v>0.471558006646348</v>
      </c>
      <c r="N369" s="5">
        <v>-2.2083685816037701E-2</v>
      </c>
      <c r="O369" s="5">
        <v>-6.0781091044377601E-2</v>
      </c>
      <c r="P369" s="5">
        <v>0.224294448024045</v>
      </c>
      <c r="Q369" s="5">
        <v>-0.25147527402924602</v>
      </c>
      <c r="R369" s="5">
        <v>0.19334946801840699</v>
      </c>
      <c r="S369" s="5">
        <v>-0.24561644781764799</v>
      </c>
      <c r="T369" s="5">
        <v>3.0208045521958601E-2</v>
      </c>
      <c r="U369" s="5">
        <v>-8.2406334065878495E-2</v>
      </c>
      <c r="V369" s="5">
        <v>-8.2752508808220701E-2</v>
      </c>
      <c r="W369" s="5">
        <v>0.11064832453684199</v>
      </c>
      <c r="X369" s="5">
        <v>2.19769607074508E-2</v>
      </c>
      <c r="Y369" s="5">
        <v>4.1591400723505298E-2</v>
      </c>
      <c r="Z369" s="5">
        <v>4.3107096282001697E-2</v>
      </c>
      <c r="AA369" s="5">
        <v>-9.4550814627868393E-2</v>
      </c>
      <c r="AB369" s="5">
        <v>0.15972341728568501</v>
      </c>
      <c r="AC369" s="5">
        <v>-0.179971466125668</v>
      </c>
      <c r="AD369" s="5">
        <v>6.9534914453080798E-2</v>
      </c>
      <c r="AE369" s="5">
        <v>-9.5321005586197299E-2</v>
      </c>
      <c r="AF369" s="5">
        <v>1.02218168927374E-2</v>
      </c>
      <c r="AG369" s="5">
        <v>1.2702024320189201E-2</v>
      </c>
      <c r="AH369" s="5">
        <v>-0.14054193635553</v>
      </c>
      <c r="AI369" s="5">
        <v>0.162709353941417</v>
      </c>
      <c r="AJ369" s="5">
        <v>-0.13242169365204001</v>
      </c>
      <c r="AK369" s="5">
        <v>0.25462234690708802</v>
      </c>
      <c r="AL369" s="5">
        <v>-2.80645836187811E-2</v>
      </c>
      <c r="AM369" s="5">
        <v>0.121482479462934</v>
      </c>
      <c r="AN369" s="5">
        <v>-7.4945941200096899E-2</v>
      </c>
      <c r="AO369" s="5">
        <v>5.5240377333256402E-2</v>
      </c>
      <c r="AP369" s="5">
        <v>-1.0325581137214299E-2</v>
      </c>
      <c r="AQ369" s="5">
        <v>-7.2432518458416306E-2</v>
      </c>
      <c r="AR369" s="5">
        <v>0.200705512225059</v>
      </c>
      <c r="AS369" s="5">
        <v>-0.22473816445295</v>
      </c>
      <c r="AT369" s="5">
        <v>-0.20948937451003399</v>
      </c>
      <c r="AU369" s="5">
        <v>0.32782649265902702</v>
      </c>
      <c r="AV369" s="5">
        <v>0.22558864348150401</v>
      </c>
      <c r="AW369" s="5">
        <v>-0.310879234338577</v>
      </c>
      <c r="AX369" s="5">
        <v>0.20959827867150399</v>
      </c>
      <c r="AY369" s="5">
        <v>-0.22813354841694999</v>
      </c>
      <c r="AZ369" s="5">
        <v>0.18053493464967599</v>
      </c>
      <c r="BA369" s="5">
        <v>-0.20123883063794801</v>
      </c>
      <c r="BB369" s="5">
        <v>0.16961841238122399</v>
      </c>
      <c r="BC369" s="5">
        <v>-0.17643317422343099</v>
      </c>
      <c r="BD369" s="5">
        <v>-0.10131860036009201</v>
      </c>
      <c r="BE369" s="5">
        <v>0.118992512380383</v>
      </c>
      <c r="BF369" s="5">
        <v>2.89545523438819E-2</v>
      </c>
      <c r="BG369" s="5">
        <v>-6.3119275081731901E-2</v>
      </c>
      <c r="BH369" s="5">
        <v>0.13164014112164099</v>
      </c>
      <c r="BI369" s="5">
        <v>-0.14102279188773301</v>
      </c>
      <c r="BJ369" s="5">
        <v>-0.21366990635254099</v>
      </c>
      <c r="BK369" s="5">
        <v>0.19544305758029901</v>
      </c>
      <c r="BL369" s="5">
        <v>3.5628909803301703E-2</v>
      </c>
      <c r="BM369" s="5">
        <v>-9.9711227500517696E-2</v>
      </c>
      <c r="BN369" s="5">
        <v>-0.13411064840171399</v>
      </c>
      <c r="BO369" s="5">
        <v>0.11368523191709901</v>
      </c>
      <c r="BP369" s="5">
        <v>-0.12227453584294801</v>
      </c>
      <c r="BQ369" s="5">
        <v>0.115997688514901</v>
      </c>
      <c r="BR369" s="5">
        <v>0.118860851900166</v>
      </c>
      <c r="BS369" s="5">
        <v>-0.10769546734791401</v>
      </c>
      <c r="BT369" s="5">
        <v>0.137347481502436</v>
      </c>
      <c r="BU369" s="5">
        <v>-0.14522119370946401</v>
      </c>
      <c r="BV369" s="5">
        <v>2.0884740536465801E-2</v>
      </c>
      <c r="BW369" s="5">
        <v>1.5080543188864801E-2</v>
      </c>
      <c r="BX369" s="5">
        <v>0.15370320480916799</v>
      </c>
      <c r="BY369" s="5">
        <v>-0.14902775211960001</v>
      </c>
      <c r="BZ369" s="5">
        <v>0.178535134353772</v>
      </c>
      <c r="CA369" s="5">
        <v>-0.187727100584061</v>
      </c>
      <c r="CB369" s="5">
        <v>0.13122817642649701</v>
      </c>
      <c r="CC369" s="5">
        <v>-0.168060080519641</v>
      </c>
      <c r="CD369" s="5">
        <v>4.1339924278272197E-2</v>
      </c>
      <c r="CE369" s="5">
        <v>-6.7766698666238606E-2</v>
      </c>
      <c r="CF369" s="5">
        <v>0.25683301176747497</v>
      </c>
      <c r="CG369" s="5">
        <v>-0.28856534121448801</v>
      </c>
      <c r="CH369" s="5">
        <v>6.7382373289526301E-2</v>
      </c>
      <c r="CI369" s="5">
        <v>2.1961364791061699E-2</v>
      </c>
      <c r="CJ369" s="5">
        <v>3.16080920633506E-2</v>
      </c>
      <c r="CK369" s="5">
        <v>9.6218459760235003E-3</v>
      </c>
      <c r="CL369" s="5">
        <v>2.3323394153502E-2</v>
      </c>
      <c r="CM369" s="5">
        <v>-7.2259405602253093E-2</v>
      </c>
      <c r="CN369" s="5">
        <v>4.9526224271695597E-2</v>
      </c>
      <c r="CO369" s="5">
        <v>-0.103182340565459</v>
      </c>
      <c r="CP369" s="5">
        <v>1.7790147409804599E-2</v>
      </c>
      <c r="CQ369" s="5">
        <v>-1.0233652099884499E-2</v>
      </c>
      <c r="CR369" s="5">
        <v>0.240654868737086</v>
      </c>
      <c r="CS369" s="5">
        <v>-0.28835946611056001</v>
      </c>
      <c r="CT369" s="5">
        <v>2.7325076644903801E-2</v>
      </c>
      <c r="CU369" s="5">
        <v>-8.6465571990487503E-2</v>
      </c>
      <c r="CV369" s="5">
        <v>0.157071623797052</v>
      </c>
      <c r="CW369" s="5">
        <v>-0.117768854350704</v>
      </c>
      <c r="CX369" s="5">
        <v>-5.0955515878118697E-3</v>
      </c>
      <c r="CY369" s="5">
        <v>3.9905681609636201E-2</v>
      </c>
      <c r="CZ369" s="5">
        <v>0.23085622770956299</v>
      </c>
      <c r="DA369" s="5">
        <v>-0.242327996493648</v>
      </c>
      <c r="DB369" s="5">
        <v>7.6621794487931896E-2</v>
      </c>
      <c r="DC369" s="5">
        <v>-1.0057713385669E-2</v>
      </c>
      <c r="DD369" s="5">
        <v>4.7315821745733101E-2</v>
      </c>
      <c r="DE369" s="5">
        <v>-3.65110552574405E-2</v>
      </c>
      <c r="DF369" s="5">
        <v>3.7295130138546802E-2</v>
      </c>
      <c r="DG369" s="5">
        <v>-4.4237371466360101E-2</v>
      </c>
      <c r="DH369" s="5">
        <v>-1.4664331674054201E-3</v>
      </c>
      <c r="DI369" s="5">
        <v>-1.9842826074941799E-3</v>
      </c>
      <c r="DJ369" s="5">
        <v>-5.1189793302620898E-2</v>
      </c>
      <c r="DK369" s="5">
        <v>-4.3143417582823897E-2</v>
      </c>
      <c r="DL369" s="5">
        <v>4.3755653320508299E-2</v>
      </c>
      <c r="DM369" s="5">
        <v>-1.7948431836244599E-2</v>
      </c>
      <c r="DN369" s="5">
        <v>1.41478413309183E-3</v>
      </c>
      <c r="DO369" s="5">
        <v>-0.13411400783980701</v>
      </c>
      <c r="DP369" s="5">
        <v>-0.14474177077342301</v>
      </c>
      <c r="DQ369" s="5">
        <v>0.28289787446812698</v>
      </c>
      <c r="DR369" s="5">
        <v>-3.51859271151491E-3</v>
      </c>
      <c r="DS369" s="5">
        <v>-2.7439619607291799E-2</v>
      </c>
      <c r="DT369" s="5">
        <v>-9.9000416854808301E-2</v>
      </c>
      <c r="DU369" s="5">
        <v>0.152388126985878</v>
      </c>
      <c r="DV369" s="5">
        <v>0.14880891389940101</v>
      </c>
      <c r="DW369" s="5">
        <v>-0.16126111974669999</v>
      </c>
      <c r="DX369" s="5">
        <v>-1.8342280222520501E-2</v>
      </c>
      <c r="DY369" s="5">
        <v>-4.40256112334124E-2</v>
      </c>
      <c r="DZ369" s="5">
        <v>-5.7713185835359601E-2</v>
      </c>
      <c r="EA369" s="5">
        <v>-2.2980732057012201E-2</v>
      </c>
      <c r="EB369" s="5">
        <v>0.15724060871705001</v>
      </c>
      <c r="EC369" s="5">
        <v>-0.13736855403672399</v>
      </c>
      <c r="ED369" s="5">
        <v>0.104809964937069</v>
      </c>
      <c r="EE369" s="5">
        <v>-0.101731709215119</v>
      </c>
      <c r="EF369" s="5">
        <v>0.23527475223668401</v>
      </c>
      <c r="EG369" s="5">
        <v>-0.26753916846341302</v>
      </c>
      <c r="EH369" s="5">
        <v>-3.2683208042475501E-2</v>
      </c>
      <c r="EI369" s="5">
        <v>5.5702409750438199E-2</v>
      </c>
      <c r="EJ369" s="5">
        <v>-0.118283172112798</v>
      </c>
      <c r="EK369" s="5">
        <v>0.119402675908908</v>
      </c>
      <c r="EL369" s="5">
        <v>0.192175484818876</v>
      </c>
      <c r="EM369" s="5">
        <v>-0.203055826210774</v>
      </c>
      <c r="EN369" s="5">
        <v>-8.6815123749858697E-2</v>
      </c>
      <c r="EO369" s="5">
        <v>0.14354952476435001</v>
      </c>
      <c r="EP369" s="5">
        <v>0.16352541103857299</v>
      </c>
      <c r="EQ369" s="5">
        <v>-0.18422164377049799</v>
      </c>
      <c r="ER369" s="5">
        <v>0.16002748103233</v>
      </c>
      <c r="ES369" s="5">
        <v>-0.14735312764780301</v>
      </c>
      <c r="ET369" s="5">
        <v>0.204304122566797</v>
      </c>
      <c r="EU369" s="5">
        <v>-0.18612679428273099</v>
      </c>
      <c r="EV369" s="5">
        <v>0.22040587588193</v>
      </c>
      <c r="EW369" s="5">
        <v>-0.23980869813323599</v>
      </c>
      <c r="EX369" s="5">
        <v>0.15958071908333299</v>
      </c>
      <c r="EY369" s="5">
        <v>-0.151184205420231</v>
      </c>
      <c r="EZ369" s="5">
        <v>0.144382922760287</v>
      </c>
      <c r="FA369" s="5">
        <v>-0.13225930920718099</v>
      </c>
      <c r="FB369" s="5">
        <v>-8.2581570482892899E-2</v>
      </c>
      <c r="FC369" s="5">
        <v>9.5164908017965094E-2</v>
      </c>
      <c r="FD369" s="5">
        <v>0.121781077438134</v>
      </c>
      <c r="FE369" s="5">
        <v>-7.88827932378246E-2</v>
      </c>
      <c r="FF369" s="5">
        <v>-9.5165327451085496E-2</v>
      </c>
      <c r="FG369" s="5">
        <v>9.7956077458355106E-2</v>
      </c>
      <c r="FH369" s="5">
        <v>0.19091711064693101</v>
      </c>
      <c r="FI369" s="5">
        <v>-0.24800740522676501</v>
      </c>
      <c r="FJ369" s="5">
        <v>4.0567183576871099E-2</v>
      </c>
      <c r="FK369" s="5">
        <v>5.9126584697675099E-3</v>
      </c>
      <c r="FL369" s="5">
        <v>-3.8792078862651999E-2</v>
      </c>
      <c r="FM369" s="5">
        <v>-6.8993324931465403E-3</v>
      </c>
      <c r="FN369" s="5">
        <v>-0.190255398322797</v>
      </c>
      <c r="FO369" s="5">
        <v>0.307432008525102</v>
      </c>
      <c r="FP369" s="5">
        <v>-6.64837319514852E-2</v>
      </c>
      <c r="FQ369" s="5">
        <v>0.17118259906112601</v>
      </c>
      <c r="FR369" s="5">
        <v>-8.0166597068236395E-2</v>
      </c>
      <c r="FS369" s="5">
        <v>-0.13626081451173599</v>
      </c>
      <c r="FT369" s="5">
        <v>-2.2005551917578799E-2</v>
      </c>
      <c r="FU369" s="5">
        <v>8.7265285353449698E-2</v>
      </c>
      <c r="FV369" s="5">
        <v>-6.9694068817752905E-2</v>
      </c>
      <c r="FW369" s="5">
        <v>0.11056933453715</v>
      </c>
      <c r="FX369" s="5">
        <v>5.5033827857357803E-2</v>
      </c>
      <c r="FY369" s="5">
        <v>-2.1391998124805099E-2</v>
      </c>
      <c r="FZ369" s="5">
        <v>-4.3417026042840597E-3</v>
      </c>
      <c r="GA369" s="5">
        <v>7.3846593895110099E-2</v>
      </c>
      <c r="GB369" s="5">
        <v>-3.0536972636503901E-2</v>
      </c>
      <c r="GC369" s="5">
        <v>8.0647573408232798E-3</v>
      </c>
      <c r="GD369" s="5">
        <v>-9.3342134700601403E-2</v>
      </c>
      <c r="GE369" s="5">
        <v>6.4946887475748893E-2</v>
      </c>
      <c r="GF369" s="5">
        <v>0.136086018275308</v>
      </c>
      <c r="GG369" s="5">
        <v>-8.95105856206449E-2</v>
      </c>
      <c r="GH369" s="5">
        <v>-4.64485612456473E-2</v>
      </c>
      <c r="GI369" s="5">
        <v>2.0318595504647399E-5</v>
      </c>
      <c r="GJ369" s="5">
        <v>0.13257540116577901</v>
      </c>
      <c r="GK369" s="5">
        <v>-0.12649548052083101</v>
      </c>
      <c r="GL369" s="5">
        <v>0.20548431423646801</v>
      </c>
      <c r="GM369" s="5">
        <v>-0.214849236894566</v>
      </c>
      <c r="GN369" s="5">
        <v>-0.113115959289566</v>
      </c>
      <c r="GO369" s="5">
        <v>0.15187753067076701</v>
      </c>
      <c r="GP369" s="5">
        <v>-9.66662256576101E-2</v>
      </c>
      <c r="GQ369" s="5">
        <v>0.20380811368138799</v>
      </c>
      <c r="GR369" s="5">
        <v>0.18211404506132101</v>
      </c>
      <c r="GS369" s="5">
        <v>-0.15060357053367801</v>
      </c>
      <c r="GT369" s="5">
        <v>-5.9498443116200998E-2</v>
      </c>
      <c r="GU369" s="5">
        <v>0.116427260903419</v>
      </c>
      <c r="GV369" s="5">
        <v>0.15693873521422999</v>
      </c>
      <c r="GW369" s="5">
        <v>-0.20079922083940499</v>
      </c>
      <c r="GX369" s="5">
        <v>-1.08050773284729E-2</v>
      </c>
      <c r="GY369" s="5">
        <v>8.1096323134148496E-2</v>
      </c>
      <c r="GZ369" s="5">
        <v>4.7756595988829302E-2</v>
      </c>
      <c r="HA369" s="5">
        <v>-0.110087517193901</v>
      </c>
      <c r="HB369" s="5">
        <v>0.115007554167103</v>
      </c>
      <c r="HC369" s="5">
        <v>-0.15650973259584</v>
      </c>
      <c r="HD369" s="5">
        <v>-1.08626271314789E-2</v>
      </c>
      <c r="HE369" s="5">
        <v>-4.6299037033787897E-2</v>
      </c>
      <c r="HF369" s="5">
        <v>-1.51569788924307E-2</v>
      </c>
      <c r="HG369" s="5">
        <v>-6.2726388946485204E-2</v>
      </c>
      <c r="HH369" s="5">
        <v>4.0252921089775698E-2</v>
      </c>
      <c r="HI369" s="5">
        <v>-9.0079353599273507E-2</v>
      </c>
      <c r="HJ369" s="5">
        <v>-2.3777254877540201E-2</v>
      </c>
      <c r="HK369" s="5">
        <v>-5.9438727646667501E-2</v>
      </c>
      <c r="HL369" s="5">
        <v>3.7515184269633899E-2</v>
      </c>
      <c r="HM369" s="5">
        <v>-5.8964487986119203E-2</v>
      </c>
      <c r="HN369" s="5">
        <v>-6.3114613642690207E-2</v>
      </c>
      <c r="HO369" s="5">
        <v>2.6812391407308699E-2</v>
      </c>
      <c r="HP369" s="5">
        <v>-0.26462125048966301</v>
      </c>
      <c r="HQ369" s="5">
        <v>0.38877980056928202</v>
      </c>
      <c r="HR369" s="5">
        <v>-4.2126423546604001E-2</v>
      </c>
      <c r="HS369" s="5">
        <v>0.12300856682461001</v>
      </c>
      <c r="HT369" s="5">
        <v>-0.123503356615161</v>
      </c>
      <c r="HU369" s="5">
        <v>0.13982388633590201</v>
      </c>
      <c r="HV369" s="5">
        <v>7.0022612261619793E-2</v>
      </c>
      <c r="HW369" s="5">
        <v>-7.5357298728036606E-2</v>
      </c>
      <c r="HX369" s="5">
        <v>7.8860767580010094E-2</v>
      </c>
      <c r="HY369" s="5">
        <v>-3.0535421825138E-2</v>
      </c>
      <c r="HZ369" s="5">
        <v>-7.3580679373540306E-2</v>
      </c>
      <c r="IA369" s="5">
        <v>4.47663877413099E-2</v>
      </c>
      <c r="IB369" s="5">
        <v>-9.51788914262654E-2</v>
      </c>
      <c r="IC369" s="5">
        <v>8.8365723928759701E-2</v>
      </c>
      <c r="ID369" s="5">
        <v>-6.5516011235307994E-2</v>
      </c>
      <c r="IE369" s="5">
        <v>0.101549017647647</v>
      </c>
      <c r="IF369" s="5">
        <v>3.5666819354744798E-2</v>
      </c>
      <c r="IG369" s="5">
        <v>-1.82916174502545E-2</v>
      </c>
      <c r="IH369" s="5">
        <v>0.22729771815172101</v>
      </c>
      <c r="II369" s="5">
        <v>-0.270242953571532</v>
      </c>
      <c r="IJ369" s="5">
        <v>0.179922813442605</v>
      </c>
      <c r="IK369" s="5">
        <v>-0.102272546731592</v>
      </c>
      <c r="IL369" s="5">
        <v>-9.1433877611705502E-2</v>
      </c>
      <c r="IM369" s="5">
        <v>0.15451079364749201</v>
      </c>
      <c r="IN369" s="5">
        <v>0.19657945014532199</v>
      </c>
      <c r="IO369" s="5">
        <v>-0.21426825571383501</v>
      </c>
      <c r="IP369" s="5">
        <v>0.155952958654695</v>
      </c>
      <c r="IQ369" s="5">
        <v>-0.20187228549289701</v>
      </c>
      <c r="IR369" s="5">
        <v>-0.35314834502148001</v>
      </c>
      <c r="IS369" s="5">
        <v>0.439646528833053</v>
      </c>
      <c r="IT369" s="5">
        <v>8.1005308703387693E-2</v>
      </c>
      <c r="IU369" s="5">
        <v>-8.6848318282889594E-2</v>
      </c>
      <c r="IV369" s="5">
        <v>5.08048573901103E-2</v>
      </c>
      <c r="IW369" s="5">
        <v>-7.2433818595109903E-2</v>
      </c>
      <c r="IX369" s="5">
        <v>0.16468775456402701</v>
      </c>
      <c r="IY369" s="5">
        <v>-0.16879348790382101</v>
      </c>
      <c r="IZ369" s="5">
        <v>6.7566359356946895E-2</v>
      </c>
      <c r="JA369" s="5">
        <v>-0.122515947929506</v>
      </c>
      <c r="JB369" s="5">
        <v>1.9241999719606599E-2</v>
      </c>
      <c r="JC369" s="5">
        <v>-0.14858093855478699</v>
      </c>
      <c r="JD369" s="5">
        <v>-4.8697701446677101E-2</v>
      </c>
      <c r="JE369" s="5">
        <v>5.5152063332271899E-2</v>
      </c>
      <c r="JF369" s="5">
        <v>0.33509824837305402</v>
      </c>
      <c r="JG369" s="5">
        <v>-0.356766208083445</v>
      </c>
      <c r="JH369" s="5">
        <v>-0.24634190204603101</v>
      </c>
      <c r="JI369" s="5">
        <v>0.30721720596568403</v>
      </c>
      <c r="JJ369" s="5">
        <v>4.6022152859288403E-3</v>
      </c>
      <c r="JK369" s="5">
        <v>5.7407734096170102E-2</v>
      </c>
      <c r="JL369" s="5">
        <v>-0.12081422204461301</v>
      </c>
      <c r="JM369" s="5">
        <v>0.178389405560055</v>
      </c>
      <c r="JN369" s="5">
        <v>0.19090481253906799</v>
      </c>
      <c r="JO369" s="5">
        <v>-0.23299742735194401</v>
      </c>
      <c r="JP369" s="5">
        <v>0.21437781851349799</v>
      </c>
      <c r="JQ369" s="5">
        <v>-0.27149833365147202</v>
      </c>
      <c r="JR369" s="5">
        <v>0.13393243483001599</v>
      </c>
      <c r="JS369" s="5">
        <v>-0.15069285775062699</v>
      </c>
      <c r="JT369" s="5">
        <v>-0.13854500953811499</v>
      </c>
      <c r="JU369" s="5">
        <v>0.218612238013147</v>
      </c>
      <c r="JV369" s="5">
        <v>8.8379585081752504E-2</v>
      </c>
      <c r="JW369" s="5">
        <v>-8.0035288061727605E-2</v>
      </c>
      <c r="JX369" s="5">
        <v>-5.2539498530112397E-3</v>
      </c>
      <c r="JY369" s="5">
        <v>-4.9799304091255103E-2</v>
      </c>
      <c r="JZ369" s="5">
        <v>0.16465257748023401</v>
      </c>
      <c r="KA369" s="5">
        <v>-0.15035458913591901</v>
      </c>
      <c r="KB369" s="5">
        <v>-0.10131322625189899</v>
      </c>
      <c r="KC369" s="5">
        <v>6.9232055032849599E-2</v>
      </c>
      <c r="KD369" s="5">
        <v>3.1145061435068101E-2</v>
      </c>
      <c r="KE369" s="5">
        <v>-1.2651170087375801E-2</v>
      </c>
      <c r="KF369" s="5">
        <v>-1.6401366112041599E-2</v>
      </c>
      <c r="KG369" s="5">
        <v>8.5499948446442195E-2</v>
      </c>
      <c r="KH369" s="5">
        <v>-5.4556012641607199E-2</v>
      </c>
      <c r="KI369" s="5">
        <v>0.113473357230282</v>
      </c>
      <c r="KJ369" s="5">
        <v>-7.4487020149966499E-2</v>
      </c>
      <c r="KK369" s="5">
        <v>0.203293240401553</v>
      </c>
      <c r="KL369" s="5">
        <v>0.12043603425277</v>
      </c>
      <c r="KM369" s="5">
        <v>-6.0528932799453497E-2</v>
      </c>
      <c r="KN369" s="5">
        <v>-5.29115799036219E-2</v>
      </c>
      <c r="KO369" s="5">
        <v>5.5668294848256004E-3</v>
      </c>
      <c r="KP369" s="5">
        <v>-4.3478201063835702E-2</v>
      </c>
      <c r="KQ369" s="5">
        <v>-5.3779413434805898E-2</v>
      </c>
      <c r="KR369" s="5">
        <v>5.0625908162306402E-2</v>
      </c>
      <c r="KS369" s="5">
        <v>-5.3422454231260999E-3</v>
      </c>
      <c r="KT369" s="5">
        <v>1.86899948707353E-3</v>
      </c>
      <c r="KU369" s="5">
        <v>6.7539142092555196E-2</v>
      </c>
      <c r="KV369" s="5">
        <v>9.6141843935023896E-2</v>
      </c>
      <c r="KW369" s="5">
        <v>-9.5206174055617002E-2</v>
      </c>
      <c r="KX369" s="5">
        <v>-3.4910328658297698E-2</v>
      </c>
      <c r="KY369" s="5">
        <v>5.8250332618730902E-2</v>
      </c>
      <c r="KZ369" s="5">
        <v>5.5610159860664497E-2</v>
      </c>
      <c r="LA369" s="5">
        <v>-7.8605546207565893E-2</v>
      </c>
      <c r="LB369" s="5">
        <v>0.20883319264289699</v>
      </c>
      <c r="LC369" s="5">
        <v>-0.22103509670153301</v>
      </c>
      <c r="LD369" s="5">
        <v>0.16083637707317</v>
      </c>
      <c r="LE369" s="5">
        <v>-0.12510824794574499</v>
      </c>
      <c r="LF369" s="5">
        <v>-5.7079676204625299E-2</v>
      </c>
      <c r="LG369" s="5">
        <v>5.4384788659739801E-2</v>
      </c>
      <c r="LH369" s="5">
        <v>4.4923898400684899E-2</v>
      </c>
      <c r="LI369" s="5">
        <v>-2.63094192405923E-2</v>
      </c>
      <c r="LJ369" s="5">
        <v>-0.118421414301574</v>
      </c>
      <c r="LK369" s="5">
        <v>0.136632627750576</v>
      </c>
      <c r="LL369" s="5">
        <v>0.153075496400216</v>
      </c>
      <c r="LM369" s="5">
        <v>-0.150605265578279</v>
      </c>
      <c r="LN369" s="5">
        <v>0.24891037243004499</v>
      </c>
      <c r="LO369" s="5">
        <v>-0.290319538480942</v>
      </c>
      <c r="LP369" s="5">
        <v>0.157225716469167</v>
      </c>
      <c r="LQ369" s="5">
        <v>-0.194779147551179</v>
      </c>
      <c r="LR369" s="5">
        <v>-2.6753335998075702E-2</v>
      </c>
      <c r="LS369" s="5">
        <v>-2.8016027356843901E-2</v>
      </c>
      <c r="LT369" s="5">
        <v>-3.1205481338266099E-2</v>
      </c>
      <c r="LU369" s="5">
        <v>-1.07381025405587E-3</v>
      </c>
      <c r="LV369" s="5">
        <v>-2.68106140589713E-2</v>
      </c>
      <c r="LW369" s="5">
        <v>-7.3666822568334095E-2</v>
      </c>
      <c r="LX369" s="5">
        <v>-5.0818804906133302E-2</v>
      </c>
      <c r="LY369" s="5">
        <v>0.13538046925858099</v>
      </c>
      <c r="LZ369" s="5">
        <v>0.102359485923274</v>
      </c>
      <c r="MA369" s="5">
        <v>-0.11115257139012</v>
      </c>
      <c r="MB369" s="5">
        <v>0.17690483851588701</v>
      </c>
      <c r="MC369" s="5">
        <v>-0.17980090130541199</v>
      </c>
      <c r="MD369" s="5">
        <v>0.14231086279602401</v>
      </c>
      <c r="ME369" s="5">
        <v>-0.105136028684002</v>
      </c>
      <c r="MF369" s="5">
        <v>8.4626657266059294E-2</v>
      </c>
      <c r="MG369" s="5">
        <v>-0.13750281056951899</v>
      </c>
      <c r="MH369" s="5">
        <v>-9.1572981610889906E-2</v>
      </c>
      <c r="MI369" s="5">
        <v>0.15120786411815099</v>
      </c>
      <c r="MJ369" s="5">
        <v>4.0201307446803898E-2</v>
      </c>
      <c r="MK369" s="5">
        <v>-9.8289970094141199E-2</v>
      </c>
      <c r="ML369" s="5">
        <v>0.23394661443363701</v>
      </c>
      <c r="MM369" s="5">
        <v>-0.21205342954371001</v>
      </c>
      <c r="MN369" s="5">
        <v>0.23082015061828501</v>
      </c>
      <c r="MO369" s="5">
        <v>-0.233749828340649</v>
      </c>
      <c r="MP369" s="5">
        <v>-1.13270655246914E-2</v>
      </c>
      <c r="MQ369" s="5">
        <v>7.1085349306303197E-2</v>
      </c>
      <c r="MR369" s="5">
        <v>-0.140789252345729</v>
      </c>
      <c r="MS369" s="5">
        <v>0.181120642607667</v>
      </c>
      <c r="MT369" s="5">
        <v>0.21238287763609301</v>
      </c>
      <c r="MU369" s="5">
        <v>-0.19441290287396601</v>
      </c>
      <c r="MV369" s="5">
        <v>8.1289850538985506E-3</v>
      </c>
      <c r="MW369" s="5">
        <v>-2.0153579375765101E-2</v>
      </c>
      <c r="MX369" s="5">
        <v>5.6884591242999299E-2</v>
      </c>
      <c r="MY369" s="5">
        <v>-2.33964457041155E-2</v>
      </c>
      <c r="MZ369" s="5">
        <v>0.14312019415214</v>
      </c>
      <c r="NA369" s="5">
        <v>-9.4636092027987895E-2</v>
      </c>
      <c r="NB369" s="5">
        <v>-1.7486979148841699E-2</v>
      </c>
      <c r="NC369" s="5">
        <v>-5.3732852954970101E-2</v>
      </c>
      <c r="ND369" s="5">
        <v>-0.80184232509985698</v>
      </c>
      <c r="NE369" s="5">
        <v>1</v>
      </c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</row>
    <row r="370" spans="1:389" x14ac:dyDescent="0.45">
      <c r="A370" s="4" t="str">
        <f ca="1">"USA / beta1dist in "&amp;CELL("address",'damages-1990'!$J$186)</f>
        <v>USA / beta1dist in '[BHM betas v3pd.xlsx]damages-1990'!$J$186</v>
      </c>
      <c r="B370" s="6">
        <v>0.43296086565212999</v>
      </c>
      <c r="C370" s="5">
        <v>-0.27685322315689198</v>
      </c>
      <c r="D370" s="5">
        <v>-6.2608142309391296E-2</v>
      </c>
      <c r="E370" s="5">
        <v>-5.2872347045562401E-2</v>
      </c>
      <c r="F370" s="5">
        <v>0.55033666075340804</v>
      </c>
      <c r="G370" s="5">
        <v>-0.37400276350289402</v>
      </c>
      <c r="H370" s="5">
        <v>0.55932439683052004</v>
      </c>
      <c r="I370" s="5">
        <v>-0.33827035252224003</v>
      </c>
      <c r="J370" s="5">
        <v>-0.16457802407128599</v>
      </c>
      <c r="K370" s="5">
        <v>1.5331532782926699E-2</v>
      </c>
      <c r="L370" s="5">
        <v>0.26182175753613901</v>
      </c>
      <c r="M370" s="5">
        <v>-0.135266168451775</v>
      </c>
      <c r="N370" s="5">
        <v>0.51028743315592695</v>
      </c>
      <c r="O370" s="5">
        <v>-0.211666814787521</v>
      </c>
      <c r="P370" s="5">
        <v>-6.7993925423331894E-2</v>
      </c>
      <c r="Q370" s="5">
        <v>-2.9763063204413201E-2</v>
      </c>
      <c r="R370" s="5">
        <v>-0.101177914917341</v>
      </c>
      <c r="S370" s="5">
        <v>2.3838621616840399E-2</v>
      </c>
      <c r="T370" s="5">
        <v>0.58754685604569901</v>
      </c>
      <c r="U370" s="5">
        <v>-0.37896782426394598</v>
      </c>
      <c r="V370" s="5">
        <v>0.46705445451648903</v>
      </c>
      <c r="W370" s="5">
        <v>-0.3363632947622</v>
      </c>
      <c r="X370" s="5">
        <v>-4.4341471613660498E-2</v>
      </c>
      <c r="Y370" s="5">
        <v>-2.1404011255657902E-2</v>
      </c>
      <c r="Z370" s="5">
        <v>0.64046063120530405</v>
      </c>
      <c r="AA370" s="5">
        <v>-0.42624187840070699</v>
      </c>
      <c r="AB370" s="5">
        <v>-0.16053163325567599</v>
      </c>
      <c r="AC370" s="5">
        <v>6.4541618832266695E-2</v>
      </c>
      <c r="AD370" s="5">
        <v>-9.7835874265422604E-2</v>
      </c>
      <c r="AE370" s="5">
        <v>1.6486445186928099E-3</v>
      </c>
      <c r="AF370" s="5">
        <v>-8.8346231085871599E-2</v>
      </c>
      <c r="AG370" s="5">
        <v>-6.8749679594934304E-2</v>
      </c>
      <c r="AH370" s="5">
        <v>0.55555750940625404</v>
      </c>
      <c r="AI370" s="5">
        <v>-0.36069398088715199</v>
      </c>
      <c r="AJ370" s="5">
        <v>-0.169903088408035</v>
      </c>
      <c r="AK370" s="5">
        <v>1.5999336795541899E-2</v>
      </c>
      <c r="AL370" s="5">
        <v>-0.178227480964507</v>
      </c>
      <c r="AM370" s="5">
        <v>0.11933515995250001</v>
      </c>
      <c r="AN370" s="5">
        <v>0.62220364110825599</v>
      </c>
      <c r="AO370" s="5">
        <v>-0.404648351644467</v>
      </c>
      <c r="AP370" s="5">
        <v>0.59523139207498199</v>
      </c>
      <c r="AQ370" s="5">
        <v>-0.39936096988004899</v>
      </c>
      <c r="AR370" s="5">
        <v>-6.3275297247578896E-2</v>
      </c>
      <c r="AS370" s="5">
        <v>-7.0091767158920404E-2</v>
      </c>
      <c r="AT370" s="5">
        <v>-0.19406557623013801</v>
      </c>
      <c r="AU370" s="5">
        <v>0.15004989061451601</v>
      </c>
      <c r="AV370" s="5">
        <v>-0.15292912640409401</v>
      </c>
      <c r="AW370" s="5">
        <v>3.8342134149054803E-2</v>
      </c>
      <c r="AX370" s="5">
        <v>-0.22470033642571599</v>
      </c>
      <c r="AY370" s="5">
        <v>4.7663845575944601E-2</v>
      </c>
      <c r="AZ370" s="5">
        <v>-6.4636792262336901E-2</v>
      </c>
      <c r="BA370" s="5">
        <v>-2.9775746113007501E-2</v>
      </c>
      <c r="BB370" s="5">
        <v>-0.11513590588472999</v>
      </c>
      <c r="BC370" s="5">
        <v>-6.1846634277168598E-2</v>
      </c>
      <c r="BD370" s="5">
        <v>0.599226873508373</v>
      </c>
      <c r="BE370" s="5">
        <v>-0.41109770313739702</v>
      </c>
      <c r="BF370" s="5">
        <v>-3.4022923816203199E-2</v>
      </c>
      <c r="BG370" s="5">
        <v>-8.8391023884869802E-2</v>
      </c>
      <c r="BH370" s="5">
        <v>-0.14322427868441501</v>
      </c>
      <c r="BI370" s="5">
        <v>2.8224411590837301E-2</v>
      </c>
      <c r="BJ370" s="5">
        <v>0.608601952364766</v>
      </c>
      <c r="BK370" s="5">
        <v>-0.34744902073044398</v>
      </c>
      <c r="BL370" s="5">
        <v>0.57980943237740401</v>
      </c>
      <c r="BM370" s="5">
        <v>-0.36255958733285698</v>
      </c>
      <c r="BN370" s="5">
        <v>0.62145003395587295</v>
      </c>
      <c r="BO370" s="5">
        <v>-0.30684803294895202</v>
      </c>
      <c r="BP370" s="5">
        <v>0.71165996056487302</v>
      </c>
      <c r="BQ370" s="5">
        <v>-0.46747225098046102</v>
      </c>
      <c r="BR370" s="5">
        <v>-3.33297398635546E-2</v>
      </c>
      <c r="BS370" s="5">
        <v>-3.66759794418582E-2</v>
      </c>
      <c r="BT370" s="5">
        <v>-0.13178550153621299</v>
      </c>
      <c r="BU370" s="5">
        <v>2.4523631028914802E-2</v>
      </c>
      <c r="BV370" s="5">
        <v>-0.12919023793894499</v>
      </c>
      <c r="BW370" s="5">
        <v>-8.5946629405226592E-3</v>
      </c>
      <c r="BX370" s="5">
        <v>-0.14311017607502</v>
      </c>
      <c r="BY370" s="5">
        <v>1.7149776791213399E-2</v>
      </c>
      <c r="BZ370" s="5">
        <v>-0.164563902681019</v>
      </c>
      <c r="CA370" s="5">
        <v>1.53864773139861E-2</v>
      </c>
      <c r="CB370" s="5">
        <v>-0.11606028141571099</v>
      </c>
      <c r="CC370" s="5">
        <v>2.1722033536367698E-2</v>
      </c>
      <c r="CD370" s="5">
        <v>-6.5429273721927805E-2</v>
      </c>
      <c r="CE370" s="5">
        <v>2.14143467049836E-2</v>
      </c>
      <c r="CF370" s="5">
        <v>-0.161965330635748</v>
      </c>
      <c r="CG370" s="5">
        <v>5.5376977715633997E-2</v>
      </c>
      <c r="CH370" s="5">
        <v>-0.105625887237784</v>
      </c>
      <c r="CI370" s="5">
        <v>3.28662662385351E-2</v>
      </c>
      <c r="CJ370" s="5">
        <v>3.0408459134122601E-2</v>
      </c>
      <c r="CK370" s="5">
        <v>7.2183904243765303E-3</v>
      </c>
      <c r="CL370" s="5">
        <v>0.62440623646100202</v>
      </c>
      <c r="CM370" s="5">
        <v>-0.41448360461124001</v>
      </c>
      <c r="CN370" s="5">
        <v>0.66390546259858296</v>
      </c>
      <c r="CO370" s="5">
        <v>-0.459862820717369</v>
      </c>
      <c r="CP370" s="5">
        <v>-7.6213596621526603E-2</v>
      </c>
      <c r="CQ370" s="5">
        <v>-1.9014233308409401E-2</v>
      </c>
      <c r="CR370" s="5">
        <v>-1.3784236405256599E-2</v>
      </c>
      <c r="CS370" s="5">
        <v>-6.1883253038331601E-2</v>
      </c>
      <c r="CT370" s="5">
        <v>0.61925627015088103</v>
      </c>
      <c r="CU370" s="5">
        <v>-0.43500718342519601</v>
      </c>
      <c r="CV370" s="5">
        <v>-4.5436304104947201E-2</v>
      </c>
      <c r="CW370" s="5">
        <v>-3.1980590144421103E-2</v>
      </c>
      <c r="CX370" s="5">
        <v>-5.7358438779433203E-2</v>
      </c>
      <c r="CY370" s="5">
        <v>-4.3299869258934101E-2</v>
      </c>
      <c r="CZ370" s="5">
        <v>-0.13097503211731401</v>
      </c>
      <c r="DA370" s="5">
        <v>2.4096297491833601E-2</v>
      </c>
      <c r="DB370" s="5">
        <v>-0.102678244650158</v>
      </c>
      <c r="DC370" s="5">
        <v>-4.3022064160222501E-2</v>
      </c>
      <c r="DD370" s="5">
        <v>-8.5122829091345401E-2</v>
      </c>
      <c r="DE370" s="5">
        <v>-3.20704212000008E-3</v>
      </c>
      <c r="DF370" s="5">
        <v>-0.15267489722246699</v>
      </c>
      <c r="DG370" s="5">
        <v>9.9012142749255502E-2</v>
      </c>
      <c r="DH370" s="5">
        <v>0.43310555347568402</v>
      </c>
      <c r="DI370" s="5">
        <v>-0.301324601715457</v>
      </c>
      <c r="DJ370" s="5">
        <v>0.59318998825719504</v>
      </c>
      <c r="DK370" s="5">
        <v>-0.39878334390408499</v>
      </c>
      <c r="DL370" s="5">
        <v>-3.5896660458808599E-2</v>
      </c>
      <c r="DM370" s="5">
        <v>-2.85411620174678E-2</v>
      </c>
      <c r="DN370" s="5">
        <v>0.54415920899561998</v>
      </c>
      <c r="DO370" s="5">
        <v>-0.33722677398128398</v>
      </c>
      <c r="DP370" s="5">
        <v>2.0878283471100201E-2</v>
      </c>
      <c r="DQ370" s="5">
        <v>-6.0601034228374998E-2</v>
      </c>
      <c r="DR370" s="5">
        <v>0.64273418216422595</v>
      </c>
      <c r="DS370" s="5">
        <v>-0.457299244393292</v>
      </c>
      <c r="DT370" s="5">
        <v>8.7870428059910397E-3</v>
      </c>
      <c r="DU370" s="5">
        <v>-6.3976000310324105E-2</v>
      </c>
      <c r="DV370" s="5">
        <v>-0.108839388482671</v>
      </c>
      <c r="DW370" s="5">
        <v>2.2235967028603799E-2</v>
      </c>
      <c r="DX370" s="5">
        <v>0.57585656590160395</v>
      </c>
      <c r="DY370" s="5">
        <v>-0.32489463298976501</v>
      </c>
      <c r="DZ370" s="5">
        <v>0.51489048645341395</v>
      </c>
      <c r="EA370" s="5">
        <v>-0.21227353587152301</v>
      </c>
      <c r="EB370" s="5">
        <v>-0.13423592601980699</v>
      </c>
      <c r="EC370" s="5">
        <v>3.0183695799557601E-2</v>
      </c>
      <c r="ED370" s="5">
        <v>-7.5553323409106393E-2</v>
      </c>
      <c r="EE370" s="5">
        <v>-2.3988353012276701E-2</v>
      </c>
      <c r="EF370" s="5">
        <v>-2.2834644826158899E-2</v>
      </c>
      <c r="EG370" s="5">
        <v>-5.7081256575680299E-2</v>
      </c>
      <c r="EH370" s="5">
        <v>-0.14766587485105201</v>
      </c>
      <c r="EI370" s="5">
        <v>2.4714130880884901E-2</v>
      </c>
      <c r="EJ370" s="5">
        <v>-0.12506912742347401</v>
      </c>
      <c r="EK370" s="5">
        <v>-5.55894916991514E-4</v>
      </c>
      <c r="EL370" s="5">
        <v>-0.22359477116239199</v>
      </c>
      <c r="EM370" s="5">
        <v>0.154068831271405</v>
      </c>
      <c r="EN370" s="5">
        <v>0.26252466847816602</v>
      </c>
      <c r="EO370" s="5">
        <v>-0.122555206331262</v>
      </c>
      <c r="EP370" s="5">
        <v>-5.3320994989732202E-2</v>
      </c>
      <c r="EQ370" s="5">
        <v>-4.3899586792547997E-2</v>
      </c>
      <c r="ER370" s="5">
        <v>-1.0907217229301699E-2</v>
      </c>
      <c r="ES370" s="5">
        <v>-0.122019302601723</v>
      </c>
      <c r="ET370" s="5">
        <v>-0.200240656002765</v>
      </c>
      <c r="EU370" s="5">
        <v>6.7112236687679405E-2</v>
      </c>
      <c r="EV370" s="5">
        <v>-0.17066808475891401</v>
      </c>
      <c r="EW370" s="5">
        <v>2.8500251098075901E-3</v>
      </c>
      <c r="EX370" s="5">
        <v>-0.138469597239335</v>
      </c>
      <c r="EY370" s="5">
        <v>2.9379499034747601E-2</v>
      </c>
      <c r="EZ370" s="5">
        <v>-2.8259154138553701E-2</v>
      </c>
      <c r="FA370" s="5">
        <v>-9.7523706973391897E-2</v>
      </c>
      <c r="FB370" s="5">
        <v>0.59838647255681898</v>
      </c>
      <c r="FC370" s="5">
        <v>-0.41880597193802999</v>
      </c>
      <c r="FD370" s="5">
        <v>-5.46910384076034E-2</v>
      </c>
      <c r="FE370" s="5">
        <v>-2.5371103086820099E-2</v>
      </c>
      <c r="FF370" s="5">
        <v>0.60505740063183799</v>
      </c>
      <c r="FG370" s="5">
        <v>-0.409002228668288</v>
      </c>
      <c r="FH370" s="5">
        <v>-0.18969628048402101</v>
      </c>
      <c r="FI370" s="5">
        <v>0.102540984213126</v>
      </c>
      <c r="FJ370" s="5">
        <v>-3.3499770848247797E-2</v>
      </c>
      <c r="FK370" s="5">
        <v>-0.103876773310458</v>
      </c>
      <c r="FL370" s="5">
        <v>0.48998661912980102</v>
      </c>
      <c r="FM370" s="5">
        <v>-0.18541552395576599</v>
      </c>
      <c r="FN370" s="5">
        <v>0.151718452603396</v>
      </c>
      <c r="FO370" s="5">
        <v>-0.117483248230805</v>
      </c>
      <c r="FP370" s="5">
        <v>-6.9761318751208098E-2</v>
      </c>
      <c r="FQ370" s="5">
        <v>-1.9698224399070801E-2</v>
      </c>
      <c r="FR370" s="5">
        <v>0.266398140881764</v>
      </c>
      <c r="FS370" s="5">
        <v>-1.2749068824274099E-2</v>
      </c>
      <c r="FT370" s="5">
        <v>-8.6576741451749994E-3</v>
      </c>
      <c r="FU370" s="5">
        <v>-5.9573183496894402E-2</v>
      </c>
      <c r="FV370" s="5">
        <v>0.53681395083222205</v>
      </c>
      <c r="FW370" s="5">
        <v>-0.413030220613258</v>
      </c>
      <c r="FX370" s="5">
        <v>-0.12982936659908501</v>
      </c>
      <c r="FY370" s="5">
        <v>3.3989553438421097E-2</v>
      </c>
      <c r="FZ370" s="5">
        <v>4.8697101077679996E-3</v>
      </c>
      <c r="GA370" s="5">
        <v>-7.5283593611027003E-2</v>
      </c>
      <c r="GB370" s="5">
        <v>0.66551628249001804</v>
      </c>
      <c r="GC370" s="5">
        <v>-0.50567819045571805</v>
      </c>
      <c r="GD370" s="5">
        <v>0.65788782419548897</v>
      </c>
      <c r="GE370" s="5">
        <v>-0.43047514221062799</v>
      </c>
      <c r="GF370" s="5">
        <v>-7.6971255666920799E-2</v>
      </c>
      <c r="GG370" s="5">
        <v>-2.1331512931625499E-2</v>
      </c>
      <c r="GH370" s="5">
        <v>0.49970882221143997</v>
      </c>
      <c r="GI370" s="5">
        <v>-0.15507154900204401</v>
      </c>
      <c r="GJ370" s="5">
        <v>-0.26491670245620602</v>
      </c>
      <c r="GK370" s="5">
        <v>0.15237347413999999</v>
      </c>
      <c r="GL370" s="5">
        <v>-4.6179063574874703E-2</v>
      </c>
      <c r="GM370" s="5">
        <v>-4.1076455316583098E-2</v>
      </c>
      <c r="GN370" s="5">
        <v>0.61767497849602804</v>
      </c>
      <c r="GO370" s="5">
        <v>-0.49156455417599998</v>
      </c>
      <c r="GP370" s="5">
        <v>-0.148749928260659</v>
      </c>
      <c r="GQ370" s="5">
        <v>-8.9755295889771894E-3</v>
      </c>
      <c r="GR370" s="5">
        <v>-0.20169405943678401</v>
      </c>
      <c r="GS370" s="5">
        <v>0.108563961942361</v>
      </c>
      <c r="GT370" s="5">
        <v>0.25584026465944498</v>
      </c>
      <c r="GU370" s="5">
        <v>-0.15454540364307601</v>
      </c>
      <c r="GV370" s="5">
        <v>-8.5981279051712406E-2</v>
      </c>
      <c r="GW370" s="5">
        <v>3.1127461547034999E-2</v>
      </c>
      <c r="GX370" s="5">
        <v>-7.1890684860716703E-2</v>
      </c>
      <c r="GY370" s="5">
        <v>-3.1354282497008001E-2</v>
      </c>
      <c r="GZ370" s="5">
        <v>0.58299335499251903</v>
      </c>
      <c r="HA370" s="5">
        <v>-0.38019256813749402</v>
      </c>
      <c r="HB370" s="5">
        <v>-0.150311588672073</v>
      </c>
      <c r="HC370" s="5">
        <v>1.28965755575241E-2</v>
      </c>
      <c r="HD370" s="5">
        <v>0.55468444660638905</v>
      </c>
      <c r="HE370" s="5">
        <v>-0.33059492858200401</v>
      </c>
      <c r="HF370" s="5">
        <v>0.60413152753592803</v>
      </c>
      <c r="HG370" s="5">
        <v>-0.40756893717196202</v>
      </c>
      <c r="HH370" s="5">
        <v>0.64605227295170398</v>
      </c>
      <c r="HI370" s="5">
        <v>-0.431415225792325</v>
      </c>
      <c r="HJ370" s="5">
        <v>0.59632177149263099</v>
      </c>
      <c r="HK370" s="5">
        <v>-0.40022831550168703</v>
      </c>
      <c r="HL370" s="5">
        <v>4.3021218312038603E-2</v>
      </c>
      <c r="HM370" s="5">
        <v>-7.3281526630099097E-4</v>
      </c>
      <c r="HN370" s="5">
        <v>0.59226162106271396</v>
      </c>
      <c r="HO370" s="5">
        <v>-0.399316658426485</v>
      </c>
      <c r="HP370" s="5">
        <v>-7.6687418398026397E-2</v>
      </c>
      <c r="HQ370" s="5">
        <v>-1.16142634476441E-2</v>
      </c>
      <c r="HR370" s="5">
        <v>-1.3767608847289999E-2</v>
      </c>
      <c r="HS370" s="5">
        <v>-6.4757589937947599E-2</v>
      </c>
      <c r="HT370" s="5">
        <v>0.58465390513807902</v>
      </c>
      <c r="HU370" s="5">
        <v>-0.36959705221241501</v>
      </c>
      <c r="HV370" s="5">
        <v>-6.3170459875960996E-2</v>
      </c>
      <c r="HW370" s="5">
        <v>-6.2044269710126103E-2</v>
      </c>
      <c r="HX370" s="5">
        <v>-0.14036880849906699</v>
      </c>
      <c r="HY370" s="5">
        <v>4.3555198518561003E-2</v>
      </c>
      <c r="HZ370" s="5">
        <v>0.593725006792438</v>
      </c>
      <c r="IA370" s="5">
        <v>-0.36804231319229602</v>
      </c>
      <c r="IB370" s="5">
        <v>0.48375459168340501</v>
      </c>
      <c r="IC370" s="5">
        <v>-0.296110503509037</v>
      </c>
      <c r="ID370" s="5">
        <v>-0.10398284200182201</v>
      </c>
      <c r="IE370" s="5">
        <v>-6.5889130342364696E-2</v>
      </c>
      <c r="IF370" s="5">
        <v>-0.125088288728047</v>
      </c>
      <c r="IG370" s="5">
        <v>6.3350259812910998E-3</v>
      </c>
      <c r="IH370" s="5">
        <v>-6.2240144628820902E-2</v>
      </c>
      <c r="II370" s="5">
        <v>-4.0803746591971002E-2</v>
      </c>
      <c r="IJ370" s="5">
        <v>-7.6280767027490801E-2</v>
      </c>
      <c r="IK370" s="5">
        <v>5.433596205743E-2</v>
      </c>
      <c r="IL370" s="5">
        <v>-0.162181276106735</v>
      </c>
      <c r="IM370" s="5">
        <v>3.9356743494997702E-2</v>
      </c>
      <c r="IN370" s="5">
        <v>-0.19587679549565801</v>
      </c>
      <c r="IO370" s="5">
        <v>7.4836422559704005E-2</v>
      </c>
      <c r="IP370" s="5">
        <v>3.0225126514309701E-3</v>
      </c>
      <c r="IQ370" s="5">
        <v>-9.85658234535636E-2</v>
      </c>
      <c r="IR370" s="5">
        <v>-3.4459454754184999E-3</v>
      </c>
      <c r="IS370" s="5">
        <v>-5.6489334491855697E-2</v>
      </c>
      <c r="IT370" s="5">
        <v>-7.8905035232424398E-2</v>
      </c>
      <c r="IU370" s="5">
        <v>-3.9469609814271597E-2</v>
      </c>
      <c r="IV370" s="5">
        <v>-2.67404520592824E-2</v>
      </c>
      <c r="IW370" s="5">
        <v>-5.3337253348941897E-2</v>
      </c>
      <c r="IX370" s="5">
        <v>-9.6069608600293593E-2</v>
      </c>
      <c r="IY370" s="5">
        <v>-2.53667291577379E-2</v>
      </c>
      <c r="IZ370" s="5">
        <v>0.61967731833675199</v>
      </c>
      <c r="JA370" s="5">
        <v>-0.41576256795691802</v>
      </c>
      <c r="JB370" s="5">
        <v>0.51766172747834105</v>
      </c>
      <c r="JC370" s="5">
        <v>-0.31204762839487499</v>
      </c>
      <c r="JD370" s="5">
        <v>0.47746522042054901</v>
      </c>
      <c r="JE370" s="5">
        <v>-0.35671469092791103</v>
      </c>
      <c r="JF370" s="5">
        <v>-7.94391581580563E-2</v>
      </c>
      <c r="JG370" s="5">
        <v>1.9023841302135198E-2</v>
      </c>
      <c r="JH370" s="5">
        <v>0.45722041980334799</v>
      </c>
      <c r="JI370" s="5">
        <v>-0.15177012679492199</v>
      </c>
      <c r="JJ370" s="5">
        <v>-0.10149969767288999</v>
      </c>
      <c r="JK370" s="5">
        <v>-3.4638741190559298E-2</v>
      </c>
      <c r="JL370" s="5">
        <v>3.9731052323158197E-2</v>
      </c>
      <c r="JM370" s="5">
        <v>-0.109094847725462</v>
      </c>
      <c r="JN370" s="5">
        <v>-0.17840527473385001</v>
      </c>
      <c r="JO370" s="5">
        <v>4.8387761056080301E-2</v>
      </c>
      <c r="JP370" s="5">
        <v>-9.8375025835709701E-2</v>
      </c>
      <c r="JQ370" s="5">
        <v>6.4876419567732402E-3</v>
      </c>
      <c r="JR370" s="5">
        <v>-9.3906472196660207E-2</v>
      </c>
      <c r="JS370" s="5">
        <v>-6.1351084432994897E-2</v>
      </c>
      <c r="JT370" s="5">
        <v>-4.9348487390309802E-2</v>
      </c>
      <c r="JU370" s="5">
        <v>-3.5411879946869798E-2</v>
      </c>
      <c r="JV370" s="5">
        <v>-0.17335234893027399</v>
      </c>
      <c r="JW370" s="5">
        <v>8.3891199984340498E-2</v>
      </c>
      <c r="JX370" s="5">
        <v>0.62992580181080804</v>
      </c>
      <c r="JY370" s="5">
        <v>-0.43597683086539302</v>
      </c>
      <c r="JZ370" s="5">
        <v>-4.4281502139103798E-2</v>
      </c>
      <c r="KA370" s="5">
        <v>-4.7234504755099903E-2</v>
      </c>
      <c r="KB370" s="5">
        <v>0.61211494767226005</v>
      </c>
      <c r="KC370" s="5">
        <v>-0.37871314273865903</v>
      </c>
      <c r="KD370" s="5">
        <v>0.21812829441131301</v>
      </c>
      <c r="KE370" s="5">
        <v>-0.110385434422866</v>
      </c>
      <c r="KF370" s="5">
        <v>-0.13890596652578599</v>
      </c>
      <c r="KG370" s="5">
        <v>7.3475086794411198E-2</v>
      </c>
      <c r="KH370" s="5">
        <v>3.6531223295681502E-2</v>
      </c>
      <c r="KI370" s="5">
        <v>-7.7884698053948195E-2</v>
      </c>
      <c r="KJ370" s="5">
        <v>-0.21155122897749401</v>
      </c>
      <c r="KK370" s="5">
        <v>4.9266188091963398E-2</v>
      </c>
      <c r="KL370" s="5">
        <v>0.118435629286855</v>
      </c>
      <c r="KM370" s="5">
        <v>2.2051699953571601E-2</v>
      </c>
      <c r="KN370" s="5">
        <v>0.58112466939169805</v>
      </c>
      <c r="KO370" s="5">
        <v>-0.36386594462621502</v>
      </c>
      <c r="KP370" s="5">
        <v>0.51782027251179097</v>
      </c>
      <c r="KQ370" s="5">
        <v>-0.313329595031345</v>
      </c>
      <c r="KR370" s="5">
        <v>-9.4839537676457593E-3</v>
      </c>
      <c r="KS370" s="5">
        <v>3.7909407979883498E-4</v>
      </c>
      <c r="KT370" s="5">
        <v>-0.209678381307179</v>
      </c>
      <c r="KU370" s="5">
        <v>9.39142103055155E-2</v>
      </c>
      <c r="KV370" s="5">
        <v>-0.15040513945442899</v>
      </c>
      <c r="KW370" s="5">
        <v>2.33452762593418E-2</v>
      </c>
      <c r="KX370" s="5">
        <v>-0.148396766114061</v>
      </c>
      <c r="KY370" s="5">
        <v>2.0773158571339798E-2</v>
      </c>
      <c r="KZ370" s="5">
        <v>-8.9980398508370502E-2</v>
      </c>
      <c r="LA370" s="5">
        <v>7.7591719453888902E-2</v>
      </c>
      <c r="LB370" s="5">
        <v>-0.18103905452373101</v>
      </c>
      <c r="LC370" s="5">
        <v>8.87511063267033E-2</v>
      </c>
      <c r="LD370" s="5">
        <v>-4.2119341984536998E-2</v>
      </c>
      <c r="LE370" s="5">
        <v>-9.6676833537104004E-2</v>
      </c>
      <c r="LF370" s="5">
        <v>0.65400436713730103</v>
      </c>
      <c r="LG370" s="5">
        <v>-0.50431707517906899</v>
      </c>
      <c r="LH370" s="5">
        <v>-0.11961269332671801</v>
      </c>
      <c r="LI370" s="5">
        <v>-1.26062443937657E-2</v>
      </c>
      <c r="LJ370" s="5">
        <v>0.60153697880347001</v>
      </c>
      <c r="LK370" s="5">
        <v>-0.40264453760333802</v>
      </c>
      <c r="LL370" s="5">
        <v>-0.118443022339201</v>
      </c>
      <c r="LM370" s="5">
        <v>8.6881190456627004E-3</v>
      </c>
      <c r="LN370" s="5">
        <v>-0.116708370119809</v>
      </c>
      <c r="LO370" s="5">
        <v>9.0642494091421805E-2</v>
      </c>
      <c r="LP370" s="5">
        <v>-0.18009058825087301</v>
      </c>
      <c r="LQ370" s="5">
        <v>4.9306164504677501E-2</v>
      </c>
      <c r="LR370" s="5">
        <v>0.58987097105503195</v>
      </c>
      <c r="LS370" s="5">
        <v>-0.382404254490122</v>
      </c>
      <c r="LT370" s="5">
        <v>0.64434719062644996</v>
      </c>
      <c r="LU370" s="5">
        <v>-0.42172212147034999</v>
      </c>
      <c r="LV370" s="5">
        <v>0.491505632943811</v>
      </c>
      <c r="LW370" s="5">
        <v>-0.30857196678697901</v>
      </c>
      <c r="LX370" s="5">
        <v>6.5079571273818401E-2</v>
      </c>
      <c r="LY370" s="5">
        <v>-7.9235700081300403E-2</v>
      </c>
      <c r="LZ370" s="5">
        <v>-0.12887178849164399</v>
      </c>
      <c r="MA370" s="5">
        <v>1.2077016915763E-2</v>
      </c>
      <c r="MB370" s="5">
        <v>-0.14137234934078799</v>
      </c>
      <c r="MC370" s="5">
        <v>3.9056975908665102E-2</v>
      </c>
      <c r="MD370" s="5">
        <v>-0.26495586704491603</v>
      </c>
      <c r="ME370" s="5">
        <v>0.17035394456191399</v>
      </c>
      <c r="MF370" s="5">
        <v>0.49653058314788701</v>
      </c>
      <c r="MG370" s="5">
        <v>-0.119808402902591</v>
      </c>
      <c r="MH370" s="5">
        <v>0.20400178112588199</v>
      </c>
      <c r="MI370" s="5">
        <v>-0.12620909612277101</v>
      </c>
      <c r="MJ370" s="5">
        <v>-4.7825753000698801E-2</v>
      </c>
      <c r="MK370" s="5">
        <v>-7.5494649868734004E-3</v>
      </c>
      <c r="ML370" s="5">
        <v>-5.3741156908303202E-2</v>
      </c>
      <c r="MM370" s="5">
        <v>8.8601587102786303E-2</v>
      </c>
      <c r="MN370" s="5">
        <v>1.24590042614865E-2</v>
      </c>
      <c r="MO370" s="5">
        <v>-0.11520716229328801</v>
      </c>
      <c r="MP370" s="5">
        <v>-3.44953785997206E-2</v>
      </c>
      <c r="MQ370" s="5">
        <v>-2.0951647887126898E-3</v>
      </c>
      <c r="MR370" s="5">
        <v>0.46871170805498602</v>
      </c>
      <c r="MS370" s="5">
        <v>-0.26850640419639898</v>
      </c>
      <c r="MT370" s="5">
        <v>9.9891151705635395E-2</v>
      </c>
      <c r="MU370" s="5">
        <v>-0.132296224788092</v>
      </c>
      <c r="MV370" s="5">
        <v>7.3222652500324295E-2</v>
      </c>
      <c r="MW370" s="5">
        <v>-9.9438690527531307E-2</v>
      </c>
      <c r="MX370" s="5">
        <v>-0.12982412585518499</v>
      </c>
      <c r="MY370" s="5">
        <v>4.5168577139261402E-2</v>
      </c>
      <c r="MZ370" s="5">
        <v>-5.9363270025964698E-2</v>
      </c>
      <c r="NA370" s="5">
        <v>1.7022601126666401E-2</v>
      </c>
      <c r="NB370" s="5">
        <v>0.55946662053813201</v>
      </c>
      <c r="NC370" s="5">
        <v>-0.35830707822188201</v>
      </c>
      <c r="ND370" s="5">
        <v>0.14758297329252801</v>
      </c>
      <c r="NE370" s="5">
        <v>-0.102714803339157</v>
      </c>
      <c r="NF370" s="5">
        <v>1</v>
      </c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</row>
    <row r="371" spans="1:389" x14ac:dyDescent="0.45">
      <c r="A371" s="4" t="str">
        <f ca="1">"USA / beta2dist in "&amp;CELL("address",'damages-1990'!$K$186)</f>
        <v>USA / beta2dist in '[BHM betas v3pd.xlsx]damages-1990'!$K$186</v>
      </c>
      <c r="B371" s="6">
        <v>-1.07021340109966E-2</v>
      </c>
      <c r="C371" s="5">
        <v>0.131416241362906</v>
      </c>
      <c r="D371" s="5">
        <v>0.27470061279939201</v>
      </c>
      <c r="E371" s="5">
        <v>-3.9601766419380603E-2</v>
      </c>
      <c r="F371" s="5">
        <v>-0.130964109893321</v>
      </c>
      <c r="G371" s="5">
        <v>0.21606372539288399</v>
      </c>
      <c r="H371" s="5">
        <v>-0.42607625965214602</v>
      </c>
      <c r="I371" s="5">
        <v>0.38751655568363003</v>
      </c>
      <c r="J371" s="5">
        <v>0.35543177663641601</v>
      </c>
      <c r="K371" s="5">
        <v>-0.124075429441333</v>
      </c>
      <c r="L371" s="5">
        <v>8.2657088150403499E-2</v>
      </c>
      <c r="M371" s="5">
        <v>2.7089503564136402E-2</v>
      </c>
      <c r="N371" s="5">
        <v>-0.23805414363937799</v>
      </c>
      <c r="O371" s="5">
        <v>0.19123754490053699</v>
      </c>
      <c r="P371" s="5">
        <v>0.196957764462806</v>
      </c>
      <c r="Q371" s="5">
        <v>-3.88205029837922E-2</v>
      </c>
      <c r="R371" s="5">
        <v>0.37162155412242498</v>
      </c>
      <c r="S371" s="5">
        <v>-0.17951426583249899</v>
      </c>
      <c r="T371" s="5">
        <v>-0.40740071810704698</v>
      </c>
      <c r="U371" s="5">
        <v>0.38427121091800798</v>
      </c>
      <c r="V371" s="5">
        <v>-6.4597678457956706E-2</v>
      </c>
      <c r="W371" s="5">
        <v>0.22441858588722099</v>
      </c>
      <c r="X371" s="5">
        <v>0.293629088546846</v>
      </c>
      <c r="Y371" s="5">
        <v>-9.0259920210962796E-2</v>
      </c>
      <c r="Z371" s="5">
        <v>-0.35695125418641399</v>
      </c>
      <c r="AA371" s="5">
        <v>0.38650737153402598</v>
      </c>
      <c r="AB371" s="5">
        <v>0.31260713824410702</v>
      </c>
      <c r="AC371" s="5">
        <v>-0.172105653538734</v>
      </c>
      <c r="AD371" s="5">
        <v>0.25500350833011798</v>
      </c>
      <c r="AE371" s="5">
        <v>-8.6260934932261293E-2</v>
      </c>
      <c r="AF371" s="5">
        <v>0.18882142750199599</v>
      </c>
      <c r="AG371" s="5">
        <v>5.9438184268721203E-2</v>
      </c>
      <c r="AH371" s="5">
        <v>-0.16679486344080499</v>
      </c>
      <c r="AI371" s="5">
        <v>0.23854494283453601</v>
      </c>
      <c r="AJ371" s="5">
        <v>0.35147112797774899</v>
      </c>
      <c r="AK371" s="5">
        <v>-0.119337586878349</v>
      </c>
      <c r="AL371" s="5">
        <v>0.26353646482707299</v>
      </c>
      <c r="AM371" s="5">
        <v>-0.144246239890191</v>
      </c>
      <c r="AN371" s="5">
        <v>-0.28823364208552699</v>
      </c>
      <c r="AO371" s="5">
        <v>0.32674565903582098</v>
      </c>
      <c r="AP371" s="5">
        <v>-0.42483431587934101</v>
      </c>
      <c r="AQ371" s="5">
        <v>0.41797692470848502</v>
      </c>
      <c r="AR371" s="5">
        <v>0.10523165543516901</v>
      </c>
      <c r="AS371" s="5">
        <v>0.12838324306214999</v>
      </c>
      <c r="AT371" s="5">
        <v>0.32945297586568101</v>
      </c>
      <c r="AU371" s="5">
        <v>-0.22247604897158299</v>
      </c>
      <c r="AV371" s="5">
        <v>0.37829974285602802</v>
      </c>
      <c r="AW371" s="5">
        <v>-0.15629805843238001</v>
      </c>
      <c r="AX371" s="5">
        <v>0.40796777230513598</v>
      </c>
      <c r="AY371" s="5">
        <v>-0.15353473970606701</v>
      </c>
      <c r="AZ371" s="5">
        <v>0.18140156158583001</v>
      </c>
      <c r="BA371" s="5">
        <v>-2.9388285245064299E-2</v>
      </c>
      <c r="BB371" s="5">
        <v>0.26990588535617299</v>
      </c>
      <c r="BC371" s="5">
        <v>1.07132561292338E-2</v>
      </c>
      <c r="BD371" s="5">
        <v>-0.19239770976346299</v>
      </c>
      <c r="BE371" s="5">
        <v>0.307635957831634</v>
      </c>
      <c r="BF371" s="5">
        <v>0.16813492026096899</v>
      </c>
      <c r="BG371" s="5">
        <v>5.9361176674676601E-2</v>
      </c>
      <c r="BH371" s="5">
        <v>0.334621243083981</v>
      </c>
      <c r="BI371" s="5">
        <v>-0.13719994712898101</v>
      </c>
      <c r="BJ371" s="5">
        <v>-0.57810875117023197</v>
      </c>
      <c r="BK371" s="5">
        <v>0.4973228378074</v>
      </c>
      <c r="BL371" s="5">
        <v>-0.40762328441529999</v>
      </c>
      <c r="BM371" s="5">
        <v>0.37181369321284102</v>
      </c>
      <c r="BN371" s="5">
        <v>-0.347943078170867</v>
      </c>
      <c r="BO371" s="5">
        <v>0.32875172118367302</v>
      </c>
      <c r="BP371" s="5">
        <v>-0.41196256521829</v>
      </c>
      <c r="BQ371" s="5">
        <v>0.44916135404221602</v>
      </c>
      <c r="BR371" s="5">
        <v>0.187599584106104</v>
      </c>
      <c r="BS371" s="5">
        <v>-4.8256451003993998E-2</v>
      </c>
      <c r="BT371" s="5">
        <v>0.32468259720196302</v>
      </c>
      <c r="BU371" s="5">
        <v>-0.12997133588200299</v>
      </c>
      <c r="BV371" s="5">
        <v>0.32857159709630201</v>
      </c>
      <c r="BW371" s="5">
        <v>-9.9954519132046393E-2</v>
      </c>
      <c r="BX371" s="5">
        <v>0.32683685227877202</v>
      </c>
      <c r="BY371" s="5">
        <v>-0.12565365892653599</v>
      </c>
      <c r="BZ371" s="5">
        <v>0.34466137448923601</v>
      </c>
      <c r="CA371" s="5">
        <v>-0.12585656833776901</v>
      </c>
      <c r="CB371" s="5">
        <v>0.222545683250886</v>
      </c>
      <c r="CC371" s="5">
        <v>-7.0641306874613299E-2</v>
      </c>
      <c r="CD371" s="5">
        <v>0.25017186721572299</v>
      </c>
      <c r="CE371" s="5">
        <v>-0.135672251891607</v>
      </c>
      <c r="CF371" s="5">
        <v>0.29705803938680497</v>
      </c>
      <c r="CG371" s="5">
        <v>-0.13043914443353599</v>
      </c>
      <c r="CH371" s="5">
        <v>0.12346768658967</v>
      </c>
      <c r="CI371" s="5">
        <v>1.9348889619287501E-2</v>
      </c>
      <c r="CJ371" s="5">
        <v>0.178247681936268</v>
      </c>
      <c r="CK371" s="5">
        <v>-8.4897671629460006E-2</v>
      </c>
      <c r="CL371" s="5">
        <v>-0.40244166407480197</v>
      </c>
      <c r="CM371" s="5">
        <v>0.40658231807268302</v>
      </c>
      <c r="CN371" s="5">
        <v>-0.410540021523363</v>
      </c>
      <c r="CO371" s="5">
        <v>0.44367014593431398</v>
      </c>
      <c r="CP371" s="5">
        <v>0.23782387768048599</v>
      </c>
      <c r="CQ371" s="5">
        <v>-8.5664690429242393E-2</v>
      </c>
      <c r="CR371" s="5">
        <v>0.15570157053175601</v>
      </c>
      <c r="CS371" s="5">
        <v>1.02136196975028E-2</v>
      </c>
      <c r="CT371" s="5">
        <v>-0.47410347352968002</v>
      </c>
      <c r="CU371" s="5">
        <v>0.47497052841978998</v>
      </c>
      <c r="CV371" s="5">
        <v>0.171765632322392</v>
      </c>
      <c r="CW371" s="5">
        <v>-1.90812814311925E-2</v>
      </c>
      <c r="CX371" s="5">
        <v>0.24177322919380601</v>
      </c>
      <c r="CY371" s="5">
        <v>-2.7075816228854101E-2</v>
      </c>
      <c r="CZ371" s="5">
        <v>0.32359607450414501</v>
      </c>
      <c r="DA371" s="5">
        <v>-0.121931513258556</v>
      </c>
      <c r="DB371" s="5">
        <v>0.32637447060985803</v>
      </c>
      <c r="DC371" s="5">
        <v>-4.0417881501735503E-2</v>
      </c>
      <c r="DD371" s="5">
        <v>0.27890754466703999</v>
      </c>
      <c r="DE371" s="5">
        <v>-0.115055998799711</v>
      </c>
      <c r="DF371" s="5">
        <v>0.401392309866485</v>
      </c>
      <c r="DG371" s="5">
        <v>-0.26426536154809599</v>
      </c>
      <c r="DH371" s="5">
        <v>-1.2942242201022001E-2</v>
      </c>
      <c r="DI371" s="5">
        <v>0.12337376354113801</v>
      </c>
      <c r="DJ371" s="5">
        <v>-0.48497412596780698</v>
      </c>
      <c r="DK371" s="5">
        <v>0.45452125176458802</v>
      </c>
      <c r="DL371" s="5">
        <v>0.248747435588974</v>
      </c>
      <c r="DM371" s="5">
        <v>-7.47916753563901E-2</v>
      </c>
      <c r="DN371" s="5">
        <v>-0.46016360727837602</v>
      </c>
      <c r="DO371" s="5">
        <v>0.404542734088637</v>
      </c>
      <c r="DP371" s="5">
        <v>6.9085045540737897E-2</v>
      </c>
      <c r="DQ371" s="5">
        <v>9.0587848875426605E-2</v>
      </c>
      <c r="DR371" s="5">
        <v>-0.273785981641195</v>
      </c>
      <c r="DS371" s="5">
        <v>0.35429647627077099</v>
      </c>
      <c r="DT371" s="5">
        <v>4.5933703884085103E-2</v>
      </c>
      <c r="DU371" s="5">
        <v>4.3201799504132603E-2</v>
      </c>
      <c r="DV371" s="5">
        <v>0.29099130289028602</v>
      </c>
      <c r="DW371" s="5">
        <v>-0.14923531363888701</v>
      </c>
      <c r="DX371" s="5">
        <v>-0.33485801206479998</v>
      </c>
      <c r="DY371" s="5">
        <v>0.28165969506425498</v>
      </c>
      <c r="DZ371" s="5">
        <v>-0.211282046124777</v>
      </c>
      <c r="EA371" s="5">
        <v>0.16681978450163501</v>
      </c>
      <c r="EB371" s="5">
        <v>0.30525940569479498</v>
      </c>
      <c r="EC371" s="5">
        <v>-0.13747395196551401</v>
      </c>
      <c r="ED371" s="5">
        <v>0.262344789438894</v>
      </c>
      <c r="EE371" s="5">
        <v>-7.0389799763299496E-2</v>
      </c>
      <c r="EF371" s="5">
        <v>0.15294776927568299</v>
      </c>
      <c r="EG371" s="5">
        <v>3.0436705075933199E-3</v>
      </c>
      <c r="EH371" s="5">
        <v>0.365104483309237</v>
      </c>
      <c r="EI371" s="5">
        <v>-0.15167022238400699</v>
      </c>
      <c r="EJ371" s="5">
        <v>0.34493659135733001</v>
      </c>
      <c r="EK371" s="5">
        <v>-0.120173379399747</v>
      </c>
      <c r="EL371" s="5">
        <v>0.45531838141113101</v>
      </c>
      <c r="EM371" s="5">
        <v>-0.31606651984642598</v>
      </c>
      <c r="EN371" s="5">
        <v>8.5500861336186895E-2</v>
      </c>
      <c r="EO371" s="5">
        <v>-8.5574967675272498E-4</v>
      </c>
      <c r="EP371" s="5">
        <v>0.175851216694873</v>
      </c>
      <c r="EQ371" s="5">
        <v>-2.1325476048480299E-2</v>
      </c>
      <c r="ER371" s="5">
        <v>9.5085675032764605E-2</v>
      </c>
      <c r="ES371" s="5">
        <v>0.16380285367140299</v>
      </c>
      <c r="ET371" s="5">
        <v>0.33788293348760001</v>
      </c>
      <c r="EU371" s="5">
        <v>-0.15030570470193499</v>
      </c>
      <c r="EV371" s="5">
        <v>0.28765149894595099</v>
      </c>
      <c r="EW371" s="5">
        <v>-6.6507397218359798E-2</v>
      </c>
      <c r="EX371" s="5">
        <v>0.27376401180307303</v>
      </c>
      <c r="EY371" s="5">
        <v>-7.8949446453122796E-2</v>
      </c>
      <c r="EZ371" s="5">
        <v>0.10098936809095201</v>
      </c>
      <c r="FA371" s="5">
        <v>0.13020115941472901</v>
      </c>
      <c r="FB371" s="5">
        <v>-0.20731633387960799</v>
      </c>
      <c r="FC371" s="5">
        <v>0.28962596028257398</v>
      </c>
      <c r="FD371" s="5">
        <v>0.15721378351770601</v>
      </c>
      <c r="FE371" s="5">
        <v>-3.3650415806303199E-3</v>
      </c>
      <c r="FF371" s="5">
        <v>-0.245649345413852</v>
      </c>
      <c r="FG371" s="5">
        <v>0.30733758871885303</v>
      </c>
      <c r="FH371" s="5">
        <v>0.32776794856949498</v>
      </c>
      <c r="FI371" s="5">
        <v>-0.16798840265195</v>
      </c>
      <c r="FJ371" s="5">
        <v>0.23333385034951801</v>
      </c>
      <c r="FK371" s="5">
        <v>3.4330141186482602E-2</v>
      </c>
      <c r="FL371" s="5">
        <v>-0.23751631240455601</v>
      </c>
      <c r="FM371" s="5">
        <v>0.14553667542554299</v>
      </c>
      <c r="FN371" s="5">
        <v>0.149956337300576</v>
      </c>
      <c r="FO371" s="5">
        <v>2.0871029980633001E-2</v>
      </c>
      <c r="FP371" s="5">
        <v>0.27260589268154101</v>
      </c>
      <c r="FQ371" s="5">
        <v>-5.10029064205553E-2</v>
      </c>
      <c r="FR371" s="5">
        <v>-0.22621180283129899</v>
      </c>
      <c r="FS371" s="5">
        <v>9.9010481221889796E-2</v>
      </c>
      <c r="FT371" s="5">
        <v>0.27692570651806497</v>
      </c>
      <c r="FU371" s="5">
        <v>-4.4798995438441298E-2</v>
      </c>
      <c r="FV371" s="5">
        <v>-9.6418176313944906E-2</v>
      </c>
      <c r="FW371" s="5">
        <v>0.206137501750949</v>
      </c>
      <c r="FX371" s="5">
        <v>0.26219536174346397</v>
      </c>
      <c r="FY371" s="5">
        <v>-8.2604919979972005E-2</v>
      </c>
      <c r="FZ371" s="5">
        <v>0.29681748311808798</v>
      </c>
      <c r="GA371" s="5">
        <v>-4.4246815584891998E-2</v>
      </c>
      <c r="GB371" s="5">
        <v>-0.27234901779061199</v>
      </c>
      <c r="GC371" s="5">
        <v>0.39153767947434198</v>
      </c>
      <c r="GD371" s="5">
        <v>-0.53746427099337502</v>
      </c>
      <c r="GE371" s="5">
        <v>0.51645914488565103</v>
      </c>
      <c r="GF371" s="5">
        <v>0.24099335610941899</v>
      </c>
      <c r="GG371" s="5">
        <v>-5.6972258408518398E-2</v>
      </c>
      <c r="GH371" s="5">
        <v>-0.41070572933418997</v>
      </c>
      <c r="GI371" s="5">
        <v>0.246990245599856</v>
      </c>
      <c r="GJ371" s="5">
        <v>0.40906243561007299</v>
      </c>
      <c r="GK371" s="5">
        <v>-0.26033010954373598</v>
      </c>
      <c r="GL371" s="5">
        <v>0.17945235295202</v>
      </c>
      <c r="GM371" s="5">
        <v>-2.5103702099154201E-2</v>
      </c>
      <c r="GN371" s="5">
        <v>-0.185625771089756</v>
      </c>
      <c r="GO371" s="5">
        <v>0.31173951989890097</v>
      </c>
      <c r="GP371" s="5">
        <v>0.32745019644051199</v>
      </c>
      <c r="GQ371" s="5">
        <v>-6.9949230157806505E-2</v>
      </c>
      <c r="GR371" s="5">
        <v>0.405743039248806</v>
      </c>
      <c r="GS371" s="5">
        <v>-0.23421269674630199</v>
      </c>
      <c r="GT371" s="5">
        <v>9.0718257321055207E-2</v>
      </c>
      <c r="GU371" s="5">
        <v>5.8163397600354098E-2</v>
      </c>
      <c r="GV371" s="5">
        <v>0.26078883939490899</v>
      </c>
      <c r="GW371" s="5">
        <v>-0.146132821708194</v>
      </c>
      <c r="GX371" s="5">
        <v>0.24978966797792901</v>
      </c>
      <c r="GY371" s="5">
        <v>-2.9678334159127101E-2</v>
      </c>
      <c r="GZ371" s="5">
        <v>-0.42192893350849198</v>
      </c>
      <c r="HA371" s="5">
        <v>0.39762003404185198</v>
      </c>
      <c r="HB371" s="5">
        <v>0.32284823176706301</v>
      </c>
      <c r="HC371" s="5">
        <v>-0.116075695073211</v>
      </c>
      <c r="HD371" s="5">
        <v>-0.18239302928828799</v>
      </c>
      <c r="HE371" s="5">
        <v>0.29387765454521397</v>
      </c>
      <c r="HF371" s="5">
        <v>-0.44932891349749099</v>
      </c>
      <c r="HG371" s="5">
        <v>0.432631932688606</v>
      </c>
      <c r="HH371" s="5">
        <v>-0.36287296017294701</v>
      </c>
      <c r="HI371" s="5">
        <v>0.38599564595507802</v>
      </c>
      <c r="HJ371" s="5">
        <v>-0.476656287168995</v>
      </c>
      <c r="HK371" s="5">
        <v>0.44684440118632102</v>
      </c>
      <c r="HL371" s="5">
        <v>0.32495627753966999</v>
      </c>
      <c r="HM371" s="5">
        <v>-0.198820972100611</v>
      </c>
      <c r="HN371" s="5">
        <v>-0.25204672883127899</v>
      </c>
      <c r="HO371" s="5">
        <v>0.32358565428625402</v>
      </c>
      <c r="HP371" s="5">
        <v>0.27223585985524601</v>
      </c>
      <c r="HQ371" s="5">
        <v>-5.8850235206314397E-2</v>
      </c>
      <c r="HR371" s="5">
        <v>0.226057934083715</v>
      </c>
      <c r="HS371" s="5">
        <v>-1.38324282813182E-2</v>
      </c>
      <c r="HT371" s="5">
        <v>-0.19724873788420499</v>
      </c>
      <c r="HU371" s="5">
        <v>0.25085677233541298</v>
      </c>
      <c r="HV371" s="5">
        <v>0.186777031746895</v>
      </c>
      <c r="HW371" s="5">
        <v>1.44047338421827E-2</v>
      </c>
      <c r="HX371" s="5">
        <v>0.39323353348272799</v>
      </c>
      <c r="HY371" s="5">
        <v>-0.20599846204356101</v>
      </c>
      <c r="HZ371" s="5">
        <v>-0.28584590374617003</v>
      </c>
      <c r="IA371" s="5">
        <v>0.30624029217392001</v>
      </c>
      <c r="IB371" s="5">
        <v>-0.40387942664444798</v>
      </c>
      <c r="IC371" s="5">
        <v>0.36202722861680597</v>
      </c>
      <c r="ID371" s="5">
        <v>0.27692877423962098</v>
      </c>
      <c r="IE371" s="5">
        <v>2.7915209598639203E-4</v>
      </c>
      <c r="IF371" s="5">
        <v>0.31579170162597398</v>
      </c>
      <c r="IG371" s="5">
        <v>-0.120215938082828</v>
      </c>
      <c r="IH371" s="5">
        <v>0.19562875712028799</v>
      </c>
      <c r="II371" s="5">
        <v>-2.2431757621616501E-2</v>
      </c>
      <c r="IJ371" s="5">
        <v>0.141638028619372</v>
      </c>
      <c r="IK371" s="5">
        <v>-6.4603854601420194E-2</v>
      </c>
      <c r="IL371" s="5">
        <v>0.39410954607210202</v>
      </c>
      <c r="IM371" s="5">
        <v>-0.17776843160730399</v>
      </c>
      <c r="IN371" s="5">
        <v>0.36250809527195998</v>
      </c>
      <c r="IO371" s="5">
        <v>-0.14949115304838101</v>
      </c>
      <c r="IP371" s="5">
        <v>0.22150810167151999</v>
      </c>
      <c r="IQ371" s="5">
        <v>2.6947458818862301E-2</v>
      </c>
      <c r="IR371" s="5">
        <v>0.11100742877844701</v>
      </c>
      <c r="IS371" s="5">
        <v>6.74074232569222E-2</v>
      </c>
      <c r="IT371" s="5">
        <v>0.206082674217414</v>
      </c>
      <c r="IU371" s="5">
        <v>-5.19148673644088E-3</v>
      </c>
      <c r="IV371" s="5">
        <v>0.148731075717914</v>
      </c>
      <c r="IW371" s="5">
        <v>-9.2020731818340702E-3</v>
      </c>
      <c r="IX371" s="5">
        <v>0.196473748287852</v>
      </c>
      <c r="IY371" s="5">
        <v>-7.8318845324503693E-3</v>
      </c>
      <c r="IZ371" s="5">
        <v>-0.37242917186125801</v>
      </c>
      <c r="JA371" s="5">
        <v>0.39656492910605601</v>
      </c>
      <c r="JB371" s="5">
        <v>-0.394523106050223</v>
      </c>
      <c r="JC371" s="5">
        <v>0.32777756469785102</v>
      </c>
      <c r="JD371" s="5">
        <v>-4.1654077217540303E-2</v>
      </c>
      <c r="JE371" s="5">
        <v>0.20183709162930899</v>
      </c>
      <c r="JF371" s="5">
        <v>0.127408901915918</v>
      </c>
      <c r="JG371" s="5">
        <v>-3.8948547069504E-2</v>
      </c>
      <c r="JH371" s="5">
        <v>-4.3511878644155899E-2</v>
      </c>
      <c r="JI371" s="5">
        <v>-2.7308941295327401E-2</v>
      </c>
      <c r="JJ371" s="5">
        <v>0.33795206782152798</v>
      </c>
      <c r="JK371" s="5">
        <v>-8.7533640192670695E-2</v>
      </c>
      <c r="JL371" s="5">
        <v>0.211312691957138</v>
      </c>
      <c r="JM371" s="5">
        <v>1.3417777686863201E-2</v>
      </c>
      <c r="JN371" s="5">
        <v>0.34373825181346701</v>
      </c>
      <c r="JO371" s="5">
        <v>-0.140156672791688</v>
      </c>
      <c r="JP371" s="5">
        <v>0.36713073591810202</v>
      </c>
      <c r="JQ371" s="5">
        <v>-0.14547427491046599</v>
      </c>
      <c r="JR371" s="5">
        <v>0.19268452670191799</v>
      </c>
      <c r="JS371" s="5">
        <v>8.3782028945021694E-2</v>
      </c>
      <c r="JT371" s="5">
        <v>7.4221617419177904E-2</v>
      </c>
      <c r="JU371" s="5">
        <v>5.79983693220417E-2</v>
      </c>
      <c r="JV371" s="5">
        <v>0.35913461540914698</v>
      </c>
      <c r="JW371" s="5">
        <v>-0.20352807052373001</v>
      </c>
      <c r="JX371" s="5">
        <v>-0.41618254048145098</v>
      </c>
      <c r="JY371" s="5">
        <v>0.43519672667729797</v>
      </c>
      <c r="JZ371" s="5">
        <v>0.18618724101831999</v>
      </c>
      <c r="KA371" s="5">
        <v>-1.42612963141238E-2</v>
      </c>
      <c r="KB371" s="5">
        <v>-0.38312560396967299</v>
      </c>
      <c r="KC371" s="5">
        <v>0.35750698077293802</v>
      </c>
      <c r="KD371" s="5">
        <v>0.14624902016508601</v>
      </c>
      <c r="KE371" s="5">
        <v>-5.3143814648552598E-2</v>
      </c>
      <c r="KF371" s="5">
        <v>0.24541823881477001</v>
      </c>
      <c r="KG371" s="5">
        <v>-0.105534737995761</v>
      </c>
      <c r="KH371" s="5">
        <v>0.23525853952407899</v>
      </c>
      <c r="KI371" s="5">
        <v>-1.25958934737696E-2</v>
      </c>
      <c r="KJ371" s="5">
        <v>0.41340085434836898</v>
      </c>
      <c r="KK371" s="5">
        <v>-0.17333464039772101</v>
      </c>
      <c r="KL371" s="5">
        <v>9.2064720386381999E-2</v>
      </c>
      <c r="KM371" s="5">
        <v>-4.7261451551721997E-2</v>
      </c>
      <c r="KN371" s="5">
        <v>-0.25587546508289399</v>
      </c>
      <c r="KO371" s="5">
        <v>0.29948318134407398</v>
      </c>
      <c r="KP371" s="5">
        <v>-0.480751547288021</v>
      </c>
      <c r="KQ371" s="5">
        <v>0.41038703631672901</v>
      </c>
      <c r="KR371" s="5">
        <v>0.28083367448360502</v>
      </c>
      <c r="KS371" s="5">
        <v>-0.11936512303923</v>
      </c>
      <c r="KT371" s="5">
        <v>0.47617642281313799</v>
      </c>
      <c r="KU371" s="5">
        <v>-0.276578447683616</v>
      </c>
      <c r="KV371" s="5">
        <v>0.35691701690929001</v>
      </c>
      <c r="KW371" s="5">
        <v>-0.149858410309339</v>
      </c>
      <c r="KX371" s="5">
        <v>0.35952861921156198</v>
      </c>
      <c r="KY371" s="5">
        <v>-0.141349596878036</v>
      </c>
      <c r="KZ371" s="5">
        <v>0.230164539440152</v>
      </c>
      <c r="LA371" s="5">
        <v>-0.172137209159161</v>
      </c>
      <c r="LB371" s="5">
        <v>0.39044513327625302</v>
      </c>
      <c r="LC371" s="5">
        <v>-0.21603427813352599</v>
      </c>
      <c r="LD371" s="5">
        <v>8.8794248530280701E-2</v>
      </c>
      <c r="LE371" s="5">
        <v>0.14099594983966801</v>
      </c>
      <c r="LF371" s="5">
        <v>-0.26038893193335899</v>
      </c>
      <c r="LG371" s="5">
        <v>0.37542740442282102</v>
      </c>
      <c r="LH371" s="5">
        <v>0.27490570828247102</v>
      </c>
      <c r="LI371" s="5">
        <v>-5.78088855039227E-2</v>
      </c>
      <c r="LJ371" s="5">
        <v>-0.22182479560229801</v>
      </c>
      <c r="LK371" s="5">
        <v>0.29284454862075399</v>
      </c>
      <c r="LL371" s="5">
        <v>0.26681041821573098</v>
      </c>
      <c r="LM371" s="5">
        <v>-0.106278507575922</v>
      </c>
      <c r="LN371" s="5">
        <v>0.32784040479175203</v>
      </c>
      <c r="LO371" s="5">
        <v>-0.213568730359671</v>
      </c>
      <c r="LP371" s="5">
        <v>0.28899969898597</v>
      </c>
      <c r="LQ371" s="5">
        <v>-0.12209605149349501</v>
      </c>
      <c r="LR371" s="5">
        <v>-0.375706430615729</v>
      </c>
      <c r="LS371" s="5">
        <v>0.37700686593187299</v>
      </c>
      <c r="LT371" s="5">
        <v>-0.35568329843816199</v>
      </c>
      <c r="LU371" s="5">
        <v>0.38016632858494898</v>
      </c>
      <c r="LV371" s="5">
        <v>-0.39116092252214002</v>
      </c>
      <c r="LW371" s="5">
        <v>0.33780136397015198</v>
      </c>
      <c r="LX371" s="5">
        <v>0.204984849041184</v>
      </c>
      <c r="LY371" s="5">
        <v>-3.8491260894857899E-3</v>
      </c>
      <c r="LZ371" s="5">
        <v>0.28062551166739502</v>
      </c>
      <c r="MA371" s="5">
        <v>-8.9384822781933104E-2</v>
      </c>
      <c r="MB371" s="5">
        <v>0.30611836575719298</v>
      </c>
      <c r="MC371" s="5">
        <v>-0.15116894901167499</v>
      </c>
      <c r="MD371" s="5">
        <v>0.42992819238448698</v>
      </c>
      <c r="ME371" s="5">
        <v>-0.28913106433484898</v>
      </c>
      <c r="MF371" s="5">
        <v>-0.34684749662248399</v>
      </c>
      <c r="MG371" s="5">
        <v>0.18008269686758999</v>
      </c>
      <c r="MH371" s="5">
        <v>0.14382411760160499</v>
      </c>
      <c r="MI371" s="5">
        <v>1.42207413263585E-2</v>
      </c>
      <c r="MJ371" s="5">
        <v>4.7573764622027503E-2</v>
      </c>
      <c r="MK371" s="5">
        <v>5.6967011486631997E-2</v>
      </c>
      <c r="ML371" s="5">
        <v>0.22060090997586501</v>
      </c>
      <c r="MM371" s="5">
        <v>-0.16164506271159801</v>
      </c>
      <c r="MN371" s="5">
        <v>6.04806825678511E-2</v>
      </c>
      <c r="MO371" s="5">
        <v>9.1176245726021204E-2</v>
      </c>
      <c r="MP371" s="5">
        <v>0.25123723817465299</v>
      </c>
      <c r="MQ371" s="5">
        <v>-7.5211732381988097E-2</v>
      </c>
      <c r="MR371" s="5">
        <v>-5.9840143669502903E-2</v>
      </c>
      <c r="MS371" s="5">
        <v>0.132501173877413</v>
      </c>
      <c r="MT371" s="5">
        <v>-0.13021402286280001</v>
      </c>
      <c r="MU371" s="5">
        <v>0.19144469566740799</v>
      </c>
      <c r="MV371" s="5">
        <v>0.14484993254860401</v>
      </c>
      <c r="MW371" s="5">
        <v>0.10048792624095899</v>
      </c>
      <c r="MX371" s="5">
        <v>0.36353741624140101</v>
      </c>
      <c r="MY371" s="5">
        <v>-0.172055885567686</v>
      </c>
      <c r="MZ371" s="5">
        <v>0.21154608775183201</v>
      </c>
      <c r="NA371" s="5">
        <v>-0.100121792371222</v>
      </c>
      <c r="NB371" s="5">
        <v>-0.29435897674101702</v>
      </c>
      <c r="NC371" s="5">
        <v>0.328865370214104</v>
      </c>
      <c r="ND371" s="5">
        <v>6.3235725039906099E-2</v>
      </c>
      <c r="NE371" s="5">
        <v>7.1072357890725593E-2</v>
      </c>
      <c r="NF371" s="5">
        <v>-0.81256205885003596</v>
      </c>
      <c r="NG371" s="5">
        <v>1</v>
      </c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</row>
    <row r="372" spans="1:389" x14ac:dyDescent="0.45">
      <c r="A372" s="4" t="str">
        <f ca="1">"UZB / beta1dist in "&amp;CELL("address",'damages-1990'!$J$187)</f>
        <v>UZB / beta1dist in '[BHM betas v3pd.xlsx]damages-1990'!$J$187</v>
      </c>
      <c r="B372" s="6">
        <v>0.66970387199805503</v>
      </c>
      <c r="C372" s="5">
        <v>-0.25378764777281199</v>
      </c>
      <c r="D372" s="5">
        <v>0.26219821352900102</v>
      </c>
      <c r="E372" s="5">
        <v>-5.7328356645770899E-3</v>
      </c>
      <c r="F372" s="5">
        <v>0.54152411756311702</v>
      </c>
      <c r="G372" s="5">
        <v>-0.157462667307497</v>
      </c>
      <c r="H372" s="5">
        <v>0.30464137406156699</v>
      </c>
      <c r="I372" s="5">
        <v>-0.145134750833466</v>
      </c>
      <c r="J372" s="5">
        <v>0.18984032983798699</v>
      </c>
      <c r="K372" s="5">
        <v>7.2520270252727998E-3</v>
      </c>
      <c r="L372" s="5">
        <v>0.55378551980411606</v>
      </c>
      <c r="M372" s="5">
        <v>-0.17620620548959001</v>
      </c>
      <c r="N372" s="5">
        <v>0.37783260349650499</v>
      </c>
      <c r="O372" s="5">
        <v>-8.7425096904968205E-2</v>
      </c>
      <c r="P372" s="5">
        <v>8.1659565867163594E-2</v>
      </c>
      <c r="Q372" s="5">
        <v>3.2137478630334101E-2</v>
      </c>
      <c r="R372" s="5">
        <v>0.26843412887614498</v>
      </c>
      <c r="S372" s="5">
        <v>-5.2425674530421299E-3</v>
      </c>
      <c r="T372" s="5">
        <v>0.25695158871400198</v>
      </c>
      <c r="U372" s="5">
        <v>-6.4869824427822007E-2</v>
      </c>
      <c r="V372" s="5">
        <v>0.71539534623552503</v>
      </c>
      <c r="W372" s="5">
        <v>-0.34978530435608701</v>
      </c>
      <c r="X372" s="5">
        <v>0.250801528610476</v>
      </c>
      <c r="Y372" s="5">
        <v>4.8208718395070002E-2</v>
      </c>
      <c r="Z372" s="5">
        <v>0.41377423323777102</v>
      </c>
      <c r="AA372" s="5">
        <v>-0.119880716560384</v>
      </c>
      <c r="AB372" s="5">
        <v>0.104644755349979</v>
      </c>
      <c r="AC372" s="5">
        <v>5.6218382180877498E-2</v>
      </c>
      <c r="AD372" s="5">
        <v>0.156121066502977</v>
      </c>
      <c r="AE372" s="5">
        <v>3.5171415831938897E-2</v>
      </c>
      <c r="AF372" s="5">
        <v>0.20926704367407101</v>
      </c>
      <c r="AG372" s="5">
        <v>-5.1655286882185299E-2</v>
      </c>
      <c r="AH372" s="5">
        <v>0.50665617293574206</v>
      </c>
      <c r="AI372" s="5">
        <v>-0.14133568519172399</v>
      </c>
      <c r="AJ372" s="5">
        <v>0.17805723077915001</v>
      </c>
      <c r="AK372" s="5">
        <v>-4.5719090867471198E-3</v>
      </c>
      <c r="AL372" s="5">
        <v>4.1160181246767402E-2</v>
      </c>
      <c r="AM372" s="5">
        <v>0.10471627444952</v>
      </c>
      <c r="AN372" s="5">
        <v>0.40710015049580101</v>
      </c>
      <c r="AO372" s="5">
        <v>-9.5319784170244296E-2</v>
      </c>
      <c r="AP372" s="5">
        <v>0.28015070058684599</v>
      </c>
      <c r="AQ372" s="5">
        <v>-9.5001628017293296E-2</v>
      </c>
      <c r="AR372" s="5">
        <v>9.3626510909210606E-2</v>
      </c>
      <c r="AS372" s="5">
        <v>9.4692594749786793E-2</v>
      </c>
      <c r="AT372" s="5">
        <v>0.108031135641461</v>
      </c>
      <c r="AU372" s="5">
        <v>1.7438021004197699E-2</v>
      </c>
      <c r="AV372" s="5">
        <v>0.22748635889432001</v>
      </c>
      <c r="AW372" s="5">
        <v>2.5573775734376501E-2</v>
      </c>
      <c r="AX372" s="5">
        <v>0.175553135972843</v>
      </c>
      <c r="AY372" s="5">
        <v>3.3982636899636799E-2</v>
      </c>
      <c r="AZ372" s="5">
        <v>9.0734603762267205E-2</v>
      </c>
      <c r="BA372" s="5">
        <v>3.11869055001864E-2</v>
      </c>
      <c r="BB372" s="5">
        <v>0.23207486526093499</v>
      </c>
      <c r="BC372" s="5">
        <v>-3.3278052957826702E-2</v>
      </c>
      <c r="BD372" s="5">
        <v>0.55660501323724798</v>
      </c>
      <c r="BE372" s="5">
        <v>-9.7509974931586099E-2</v>
      </c>
      <c r="BF372" s="5">
        <v>0.17412291756678899</v>
      </c>
      <c r="BG372" s="5">
        <v>1.5372634455363399E-2</v>
      </c>
      <c r="BH372" s="5">
        <v>0.22320012394460301</v>
      </c>
      <c r="BI372" s="5">
        <v>3.09555131087038E-3</v>
      </c>
      <c r="BJ372" s="5">
        <v>0.14516112294396899</v>
      </c>
      <c r="BK372" s="5">
        <v>-2.16679734029766E-2</v>
      </c>
      <c r="BL372" s="5">
        <v>0.25161793439560998</v>
      </c>
      <c r="BM372" s="5">
        <v>-7.7565109727067802E-2</v>
      </c>
      <c r="BN372" s="5">
        <v>0.51938119152002804</v>
      </c>
      <c r="BO372" s="5">
        <v>-0.19577215612099499</v>
      </c>
      <c r="BP372" s="5">
        <v>0.445421990048253</v>
      </c>
      <c r="BQ372" s="5">
        <v>-0.159419689860992</v>
      </c>
      <c r="BR372" s="5">
        <v>0.13846884724643499</v>
      </c>
      <c r="BS372" s="5">
        <v>6.3159884784513107E-2</v>
      </c>
      <c r="BT372" s="5">
        <v>0.229956134812355</v>
      </c>
      <c r="BU372" s="5">
        <v>1.3753117943251099E-2</v>
      </c>
      <c r="BV372" s="5">
        <v>0.198430844510145</v>
      </c>
      <c r="BW372" s="5">
        <v>3.4096652298731503E-2</v>
      </c>
      <c r="BX372" s="5">
        <v>0.188161405304516</v>
      </c>
      <c r="BY372" s="5">
        <v>1.2015062535071E-2</v>
      </c>
      <c r="BZ372" s="5">
        <v>0.156989482676583</v>
      </c>
      <c r="CA372" s="5">
        <v>2.9457286507971799E-2</v>
      </c>
      <c r="CB372" s="5">
        <v>0.10918547716482301</v>
      </c>
      <c r="CC372" s="5">
        <v>4.0871539000698301E-2</v>
      </c>
      <c r="CD372" s="5">
        <v>0.203181093750023</v>
      </c>
      <c r="CE372" s="5">
        <v>-5.4705856564714599E-2</v>
      </c>
      <c r="CF372" s="5">
        <v>9.81314164836464E-2</v>
      </c>
      <c r="CG372" s="5">
        <v>4.11648415341428E-2</v>
      </c>
      <c r="CH372" s="5">
        <v>4.6656763663040703E-2</v>
      </c>
      <c r="CI372" s="5">
        <v>9.4871769810153495E-2</v>
      </c>
      <c r="CJ372" s="5">
        <v>0.33527055538456602</v>
      </c>
      <c r="CK372" s="5">
        <v>-0.124472739483882</v>
      </c>
      <c r="CL372" s="5">
        <v>0.32477508178655001</v>
      </c>
      <c r="CM372" s="5">
        <v>-8.9082110091270497E-2</v>
      </c>
      <c r="CN372" s="5">
        <v>0.38600984599532501</v>
      </c>
      <c r="CO372" s="5">
        <v>-0.12336120393137399</v>
      </c>
      <c r="CP372" s="5">
        <v>8.7298872214128798E-2</v>
      </c>
      <c r="CQ372" s="5">
        <v>5.0986729393649101E-2</v>
      </c>
      <c r="CR372" s="5">
        <v>0.14996249195809999</v>
      </c>
      <c r="CS372" s="5">
        <v>1.00938873415424E-2</v>
      </c>
      <c r="CT372" s="5">
        <v>0.30542999435228502</v>
      </c>
      <c r="CU372" s="5">
        <v>-0.102737178991762</v>
      </c>
      <c r="CV372" s="5">
        <v>6.2491244242082501E-2</v>
      </c>
      <c r="CW372" s="5">
        <v>0.10276205578195199</v>
      </c>
      <c r="CX372" s="5">
        <v>0.21791806450421999</v>
      </c>
      <c r="CY372" s="5">
        <v>2.0214157821273001E-2</v>
      </c>
      <c r="CZ372" s="5">
        <v>0.18433043531191301</v>
      </c>
      <c r="DA372" s="5">
        <v>2.9693435207239199E-2</v>
      </c>
      <c r="DB372" s="5">
        <v>0.28060424300294301</v>
      </c>
      <c r="DC372" s="5">
        <v>-3.71634075754372E-2</v>
      </c>
      <c r="DD372" s="5">
        <v>0.173696421471979</v>
      </c>
      <c r="DE372" s="5">
        <v>1.38358262145536E-2</v>
      </c>
      <c r="DF372" s="5">
        <v>0.189996817669567</v>
      </c>
      <c r="DG372" s="5">
        <v>6.9465157750527896E-3</v>
      </c>
      <c r="DH372" s="5">
        <v>0.56745236910576802</v>
      </c>
      <c r="DI372" s="5">
        <v>-0.18201869284157199</v>
      </c>
      <c r="DJ372" s="5">
        <v>0.23351517561051999</v>
      </c>
      <c r="DK372" s="5">
        <v>-7.7705483894622299E-2</v>
      </c>
      <c r="DL372" s="5">
        <v>0.21369137175563699</v>
      </c>
      <c r="DM372" s="5">
        <v>5.1278672897366498E-2</v>
      </c>
      <c r="DN372" s="5">
        <v>0.203642476401314</v>
      </c>
      <c r="DO372" s="5">
        <v>-8.7757302345240706E-2</v>
      </c>
      <c r="DP372" s="5">
        <v>0.207579402577137</v>
      </c>
      <c r="DQ372" s="5">
        <v>-4.0425433640292798E-3</v>
      </c>
      <c r="DR372" s="5">
        <v>0.500301272704616</v>
      </c>
      <c r="DS372" s="5">
        <v>-0.14902422414338701</v>
      </c>
      <c r="DT372" s="5">
        <v>8.8054776534366302E-2</v>
      </c>
      <c r="DU372" s="5">
        <v>-1.87856688270875E-3</v>
      </c>
      <c r="DV372" s="5">
        <v>0.14097173377729799</v>
      </c>
      <c r="DW372" s="5">
        <v>3.4876624396822299E-2</v>
      </c>
      <c r="DX372" s="5">
        <v>0.33847216904482202</v>
      </c>
      <c r="DY372" s="5">
        <v>-7.9348520099826306E-2</v>
      </c>
      <c r="DZ372" s="5">
        <v>0.396162774301136</v>
      </c>
      <c r="EA372" s="5">
        <v>-7.5041553780740206E-2</v>
      </c>
      <c r="EB372" s="5">
        <v>0.129771319289745</v>
      </c>
      <c r="EC372" s="5">
        <v>6.5476529673713701E-2</v>
      </c>
      <c r="ED372" s="5">
        <v>0.17296585611573301</v>
      </c>
      <c r="EE372" s="5">
        <v>5.0524284744715098E-2</v>
      </c>
      <c r="EF372" s="5">
        <v>0.11954098122434501</v>
      </c>
      <c r="EG372" s="5">
        <v>1.7556201942604599E-2</v>
      </c>
      <c r="EH372" s="5">
        <v>0.187628318486144</v>
      </c>
      <c r="EI372" s="5">
        <v>3.3460394952979401E-2</v>
      </c>
      <c r="EJ372" s="5">
        <v>0.19439864772794299</v>
      </c>
      <c r="EK372" s="5">
        <v>3.3216931707108002E-2</v>
      </c>
      <c r="EL372" s="5">
        <v>0.200728473007074</v>
      </c>
      <c r="EM372" s="5">
        <v>1.40266243675765E-2</v>
      </c>
      <c r="EN372" s="5">
        <v>0.45669207202579298</v>
      </c>
      <c r="EO372" s="5">
        <v>-0.12605362124168801</v>
      </c>
      <c r="EP372" s="5">
        <v>8.8786178334075094E-2</v>
      </c>
      <c r="EQ372" s="5">
        <v>3.8553099340734101E-2</v>
      </c>
      <c r="ER372" s="5">
        <v>0.154280903948492</v>
      </c>
      <c r="ES372" s="5">
        <v>7.6712083878066897E-2</v>
      </c>
      <c r="ET372" s="5">
        <v>0.182514428566774</v>
      </c>
      <c r="EU372" s="5">
        <v>-1.2703227380778699E-2</v>
      </c>
      <c r="EV372" s="5">
        <v>0.16610372344263499</v>
      </c>
      <c r="EW372" s="5">
        <v>-1.01340809702415E-2</v>
      </c>
      <c r="EX372" s="5">
        <v>0.14360601227113501</v>
      </c>
      <c r="EY372" s="5">
        <v>4.44522553559836E-2</v>
      </c>
      <c r="EZ372" s="5">
        <v>0.13812745861637399</v>
      </c>
      <c r="FA372" s="5">
        <v>8.1730728421957402E-2</v>
      </c>
      <c r="FB372" s="5">
        <v>0.48160408738239602</v>
      </c>
      <c r="FC372" s="5">
        <v>-0.111115583051872</v>
      </c>
      <c r="FD372" s="5">
        <v>8.4762583866658997E-2</v>
      </c>
      <c r="FE372" s="5">
        <v>9.9871139155894198E-2</v>
      </c>
      <c r="FF372" s="5">
        <v>0.47611347289684502</v>
      </c>
      <c r="FG372" s="5">
        <v>-0.140259323206574</v>
      </c>
      <c r="FH372" s="5">
        <v>0.23873305980241499</v>
      </c>
      <c r="FI372" s="5">
        <v>-7.6432715833542206E-2</v>
      </c>
      <c r="FJ372" s="5">
        <v>0.26437388002538398</v>
      </c>
      <c r="FK372" s="5">
        <v>-2.4951881896903401E-2</v>
      </c>
      <c r="FL372" s="5">
        <v>0.34781644908250298</v>
      </c>
      <c r="FM372" s="5">
        <v>-5.5051093810162099E-2</v>
      </c>
      <c r="FN372" s="5">
        <v>0.48424254277735101</v>
      </c>
      <c r="FO372" s="5">
        <v>-0.14692991336153999</v>
      </c>
      <c r="FP372" s="5">
        <v>0.30639428960409498</v>
      </c>
      <c r="FQ372" s="5">
        <v>-7.8348004423609105E-2</v>
      </c>
      <c r="FR372" s="5">
        <v>0.20092604746742099</v>
      </c>
      <c r="FS372" s="5">
        <v>-6.1004145612472402E-2</v>
      </c>
      <c r="FT372" s="5">
        <v>0.35715173278621498</v>
      </c>
      <c r="FU372" s="5">
        <v>-8.1739533427544905E-2</v>
      </c>
      <c r="FV372" s="5">
        <v>0.54270592099127501</v>
      </c>
      <c r="FW372" s="5">
        <v>-0.16842490985186501</v>
      </c>
      <c r="FX372" s="5">
        <v>7.0759124337487003E-2</v>
      </c>
      <c r="FY372" s="5">
        <v>0.11099955833893101</v>
      </c>
      <c r="FZ372" s="5">
        <v>0.388516420018091</v>
      </c>
      <c r="GA372" s="5">
        <v>-8.8424555227411203E-2</v>
      </c>
      <c r="GB372" s="5">
        <v>0.54811855005397503</v>
      </c>
      <c r="GC372" s="5">
        <v>-0.15590485710410901</v>
      </c>
      <c r="GD372" s="5">
        <v>0.35249620906434198</v>
      </c>
      <c r="GE372" s="5">
        <v>-0.13311662301625499</v>
      </c>
      <c r="GF372" s="5">
        <v>0.23724003972150301</v>
      </c>
      <c r="GG372" s="5">
        <v>9.5213806436970205E-3</v>
      </c>
      <c r="GH372" s="5">
        <v>0.27398266807056798</v>
      </c>
      <c r="GI372" s="5">
        <v>-9.4844064199900394E-2</v>
      </c>
      <c r="GJ372" s="5">
        <v>9.2378526871518402E-2</v>
      </c>
      <c r="GK372" s="5">
        <v>8.6118582744850194E-2</v>
      </c>
      <c r="GL372" s="5">
        <v>7.0769219688961202E-2</v>
      </c>
      <c r="GM372" s="5">
        <v>4.3878539973211401E-2</v>
      </c>
      <c r="GN372" s="5">
        <v>0.54127545447984804</v>
      </c>
      <c r="GO372" s="5">
        <v>-0.152843775498191</v>
      </c>
      <c r="GP372" s="5">
        <v>0.21121496658143399</v>
      </c>
      <c r="GQ372" s="5">
        <v>-2.2575158872883101E-2</v>
      </c>
      <c r="GR372" s="5">
        <v>0.18707934843851901</v>
      </c>
      <c r="GS372" s="5">
        <v>2.6868286203348E-2</v>
      </c>
      <c r="GT372" s="5">
        <v>0.48987468999225697</v>
      </c>
      <c r="GU372" s="5">
        <v>-0.122565740095246</v>
      </c>
      <c r="GV372" s="5">
        <v>0.13845120251345999</v>
      </c>
      <c r="GW372" s="5">
        <v>6.7255001834101893E-2</v>
      </c>
      <c r="GX372" s="5">
        <v>0.24953239828725801</v>
      </c>
      <c r="GY372" s="5">
        <v>-3.1608769647625302E-2</v>
      </c>
      <c r="GZ372" s="5">
        <v>0.24589983685518499</v>
      </c>
      <c r="HA372" s="5">
        <v>-7.9266154017593599E-2</v>
      </c>
      <c r="HB372" s="5">
        <v>0.14711408725267799</v>
      </c>
      <c r="HC372" s="5">
        <v>4.9514299800460397E-2</v>
      </c>
      <c r="HD372" s="5">
        <v>0.56521530879501902</v>
      </c>
      <c r="HE372" s="5">
        <v>-7.3610020923786601E-2</v>
      </c>
      <c r="HF372" s="5">
        <v>0.280936968994139</v>
      </c>
      <c r="HG372" s="5">
        <v>-0.104362511677318</v>
      </c>
      <c r="HH372" s="5">
        <v>0.40147816585716301</v>
      </c>
      <c r="HI372" s="5">
        <v>-0.12540343798897299</v>
      </c>
      <c r="HJ372" s="5">
        <v>0.25100708026172802</v>
      </c>
      <c r="HK372" s="5">
        <v>-8.8503214868528093E-2</v>
      </c>
      <c r="HL372" s="5">
        <v>0.34839461913223402</v>
      </c>
      <c r="HM372" s="5">
        <v>-2.3247151321506902E-2</v>
      </c>
      <c r="HN372" s="5">
        <v>0.491088769658654</v>
      </c>
      <c r="HO372" s="5">
        <v>-0.16841179148125501</v>
      </c>
      <c r="HP372" s="5">
        <v>0.26056447716617898</v>
      </c>
      <c r="HQ372" s="5">
        <v>1.5084262678747001E-2</v>
      </c>
      <c r="HR372" s="5">
        <v>0.296541123393321</v>
      </c>
      <c r="HS372" s="5">
        <v>4.1890878011619304E-3</v>
      </c>
      <c r="HT372" s="5">
        <v>0.48701514010332198</v>
      </c>
      <c r="HU372" s="5">
        <v>-0.12266032345415701</v>
      </c>
      <c r="HV372" s="5">
        <v>0.19909229634060999</v>
      </c>
      <c r="HW372" s="5">
        <v>-5.7780976994786497E-3</v>
      </c>
      <c r="HX372" s="5">
        <v>0.22406100721032701</v>
      </c>
      <c r="HY372" s="5">
        <v>2.1112130419627301E-2</v>
      </c>
      <c r="HZ372" s="5">
        <v>0.37477869575511502</v>
      </c>
      <c r="IA372" s="5">
        <v>-9.3945371678823095E-2</v>
      </c>
      <c r="IB372" s="5">
        <v>0.17448736568845899</v>
      </c>
      <c r="IC372" s="5">
        <v>-4.2134656842773698E-2</v>
      </c>
      <c r="ID372" s="5">
        <v>0.20537301995657201</v>
      </c>
      <c r="IE372" s="5">
        <v>2.1410834539662801E-2</v>
      </c>
      <c r="IF372" s="5">
        <v>0.1868749107189</v>
      </c>
      <c r="IG372" s="5">
        <v>1.6917847709856802E-2</v>
      </c>
      <c r="IH372" s="5">
        <v>0.12887843294151599</v>
      </c>
      <c r="II372" s="5">
        <v>9.4893107711328997E-3</v>
      </c>
      <c r="IJ372" s="5">
        <v>0.109669050436349</v>
      </c>
      <c r="IK372" s="5">
        <v>-1.9642702990370401E-3</v>
      </c>
      <c r="IL372" s="5">
        <v>0.26207985317161803</v>
      </c>
      <c r="IM372" s="5">
        <v>-2.9930295666594699E-2</v>
      </c>
      <c r="IN372" s="5">
        <v>0.24573420911334201</v>
      </c>
      <c r="IO372" s="5">
        <v>-5.2507733722416003E-2</v>
      </c>
      <c r="IP372" s="5">
        <v>0.27398147836717801</v>
      </c>
      <c r="IQ372" s="5">
        <v>-6.9503568404276498E-3</v>
      </c>
      <c r="IR372" s="5">
        <v>0.16257395536712599</v>
      </c>
      <c r="IS372" s="5">
        <v>-3.2057962588368197E-2</v>
      </c>
      <c r="IT372" s="5">
        <v>0.23433096513279</v>
      </c>
      <c r="IU372" s="5">
        <v>-2.9671933395194201E-2</v>
      </c>
      <c r="IV372" s="5">
        <v>0.13600939580684701</v>
      </c>
      <c r="IW372" s="5">
        <v>5.4276986113104199E-2</v>
      </c>
      <c r="IX372" s="5">
        <v>0.107523506386993</v>
      </c>
      <c r="IY372" s="5">
        <v>7.5824464721276102E-2</v>
      </c>
      <c r="IZ372" s="5">
        <v>0.38717654514655803</v>
      </c>
      <c r="JA372" s="5">
        <v>-0.118761086868959</v>
      </c>
      <c r="JB372" s="5">
        <v>0.20510535870745999</v>
      </c>
      <c r="JC372" s="5">
        <v>-9.3054854249412997E-2</v>
      </c>
      <c r="JD372" s="5">
        <v>0.61452960334804796</v>
      </c>
      <c r="JE372" s="5">
        <v>-0.18285357646311601</v>
      </c>
      <c r="JF372" s="5">
        <v>0.10669019730556401</v>
      </c>
      <c r="JG372" s="5">
        <v>-5.8951639504793802E-3</v>
      </c>
      <c r="JH372" s="5">
        <v>0.38663459949744999</v>
      </c>
      <c r="JI372" s="5">
        <v>2.7995312610017999E-2</v>
      </c>
      <c r="JJ372" s="5">
        <v>0.26850014053202198</v>
      </c>
      <c r="JK372" s="5">
        <v>-2.4346682473948202E-2</v>
      </c>
      <c r="JL372" s="5">
        <v>0.35056456214716902</v>
      </c>
      <c r="JM372" s="5">
        <v>-7.39748560867525E-2</v>
      </c>
      <c r="JN372" s="5">
        <v>0.102126505006102</v>
      </c>
      <c r="JO372" s="5">
        <v>6.2796326136106598E-2</v>
      </c>
      <c r="JP372" s="5">
        <v>0.30521626875839403</v>
      </c>
      <c r="JQ372" s="5">
        <v>-3.5351628702292401E-2</v>
      </c>
      <c r="JR372" s="5">
        <v>0.149701701125799</v>
      </c>
      <c r="JS372" s="5">
        <v>5.9856291911379797E-2</v>
      </c>
      <c r="JT372" s="5">
        <v>0.134014491534268</v>
      </c>
      <c r="JU372" s="5">
        <v>-4.0752584869787598E-2</v>
      </c>
      <c r="JV372" s="5">
        <v>0.22778130351338799</v>
      </c>
      <c r="JW372" s="5">
        <v>-8.8922088597183299E-3</v>
      </c>
      <c r="JX372" s="5">
        <v>0.34251126366435403</v>
      </c>
      <c r="JY372" s="5">
        <v>-0.119035278170116</v>
      </c>
      <c r="JZ372" s="5">
        <v>8.1487642899101306E-2</v>
      </c>
      <c r="KA372" s="5">
        <v>5.9495627863697699E-2</v>
      </c>
      <c r="KB372" s="5">
        <v>0.29098889589204602</v>
      </c>
      <c r="KC372" s="5">
        <v>-5.9062792159323002E-2</v>
      </c>
      <c r="KD372" s="5">
        <v>0.42449426632517501</v>
      </c>
      <c r="KE372" s="5">
        <v>-9.2259692292945505E-2</v>
      </c>
      <c r="KF372" s="5">
        <v>0.11081111166445</v>
      </c>
      <c r="KG372" s="5">
        <v>6.2122506849713002E-2</v>
      </c>
      <c r="KH372" s="5">
        <v>0.36800064009148697</v>
      </c>
      <c r="KI372" s="5">
        <v>-7.2818716074576906E-2</v>
      </c>
      <c r="KJ372" s="5">
        <v>0.18737703821847601</v>
      </c>
      <c r="KK372" s="5">
        <v>-8.6381997221470896E-3</v>
      </c>
      <c r="KL372" s="5">
        <v>0.26271370896492302</v>
      </c>
      <c r="KM372" s="5">
        <v>1.6955424726421801E-2</v>
      </c>
      <c r="KN372" s="5">
        <v>0.45229109986273303</v>
      </c>
      <c r="KO372" s="5">
        <v>-0.14574723573849799</v>
      </c>
      <c r="KP372" s="5">
        <v>0.18086186587584899</v>
      </c>
      <c r="KQ372" s="5">
        <v>-9.80157515232528E-2</v>
      </c>
      <c r="KR372" s="5">
        <v>0.30222204780866302</v>
      </c>
      <c r="KS372" s="5">
        <v>2.0103706150182601E-2</v>
      </c>
      <c r="KT372" s="5">
        <v>0.24740860433833101</v>
      </c>
      <c r="KU372" s="5">
        <v>-2.13317598945412E-2</v>
      </c>
      <c r="KV372" s="5">
        <v>0.24393801501665799</v>
      </c>
      <c r="KW372" s="5">
        <v>-3.8405847326608102E-2</v>
      </c>
      <c r="KX372" s="5">
        <v>0.18393617619781399</v>
      </c>
      <c r="KY372" s="5">
        <v>3.2777927313471303E-2</v>
      </c>
      <c r="KZ372" s="5">
        <v>0.12142915139060199</v>
      </c>
      <c r="LA372" s="5">
        <v>3.3652588978227198E-2</v>
      </c>
      <c r="LB372" s="5">
        <v>0.21428666168645599</v>
      </c>
      <c r="LC372" s="5">
        <v>8.4025339984128006E-3</v>
      </c>
      <c r="LD372" s="5">
        <v>0.110196911963603</v>
      </c>
      <c r="LE372" s="5">
        <v>9.0307580396639706E-2</v>
      </c>
      <c r="LF372" s="5">
        <v>0.527234670390337</v>
      </c>
      <c r="LG372" s="5">
        <v>-0.16878654440497201</v>
      </c>
      <c r="LH372" s="5">
        <v>0.204479555399212</v>
      </c>
      <c r="LI372" s="5">
        <v>1.0631320727424899E-2</v>
      </c>
      <c r="LJ372" s="5">
        <v>0.496700304827696</v>
      </c>
      <c r="LK372" s="5">
        <v>-0.12931930433075001</v>
      </c>
      <c r="LL372" s="5">
        <v>0.13152935983289801</v>
      </c>
      <c r="LM372" s="5">
        <v>5.6690518249916499E-2</v>
      </c>
      <c r="LN372" s="5">
        <v>0.16932231406552301</v>
      </c>
      <c r="LO372" s="5">
        <v>1.8383567651202099E-2</v>
      </c>
      <c r="LP372" s="5">
        <v>0.179891997692605</v>
      </c>
      <c r="LQ372" s="5">
        <v>-3.4792964978386499E-2</v>
      </c>
      <c r="LR372" s="5">
        <v>0.31696790530350899</v>
      </c>
      <c r="LS372" s="5">
        <v>-9.3154838973550702E-2</v>
      </c>
      <c r="LT372" s="5">
        <v>0.37972629724283802</v>
      </c>
      <c r="LU372" s="5">
        <v>-8.8600712494582706E-2</v>
      </c>
      <c r="LV372" s="5">
        <v>0.18013377577692199</v>
      </c>
      <c r="LW372" s="5">
        <v>-7.8046386049804503E-2</v>
      </c>
      <c r="LX372" s="5">
        <v>0.407841330960594</v>
      </c>
      <c r="LY372" s="5">
        <v>-0.122757996556869</v>
      </c>
      <c r="LZ372" s="5">
        <v>0.248093343929817</v>
      </c>
      <c r="MA372" s="5">
        <v>-4.3560840800173299E-2</v>
      </c>
      <c r="MB372" s="5">
        <v>0.109334042742052</v>
      </c>
      <c r="MC372" s="5">
        <v>7.0928759514873596E-2</v>
      </c>
      <c r="MD372" s="5">
        <v>0.13126064648428301</v>
      </c>
      <c r="ME372" s="5">
        <v>4.9849775234774803E-2</v>
      </c>
      <c r="MF372" s="5">
        <v>0.33404152702418399</v>
      </c>
      <c r="MG372" s="5">
        <v>-0.10050614957066301</v>
      </c>
      <c r="MH372" s="5">
        <v>0.67416384553506703</v>
      </c>
      <c r="MI372" s="5">
        <v>-0.34215685691909697</v>
      </c>
      <c r="MJ372" s="5">
        <v>0.120501074244368</v>
      </c>
      <c r="MK372" s="5">
        <v>-4.42965769450872E-2</v>
      </c>
      <c r="ML372" s="5">
        <v>0.21577557137518999</v>
      </c>
      <c r="MM372" s="5">
        <v>-2.5418777851744401E-2</v>
      </c>
      <c r="MN372" s="5">
        <v>9.4870305120864695E-2</v>
      </c>
      <c r="MO372" s="5">
        <v>3.0690231877731101E-2</v>
      </c>
      <c r="MP372" s="5">
        <v>0.239581828921582</v>
      </c>
      <c r="MQ372" s="5">
        <v>8.0173087351843794E-3</v>
      </c>
      <c r="MR372" s="5">
        <v>0.53613320710293499</v>
      </c>
      <c r="MS372" s="5">
        <v>-0.145213692822069</v>
      </c>
      <c r="MT372" s="5">
        <v>5.4862749789552002E-2</v>
      </c>
      <c r="MU372" s="5">
        <v>9.4810276242975802E-3</v>
      </c>
      <c r="MV372" s="5">
        <v>0.34826242049912498</v>
      </c>
      <c r="MW372" s="5">
        <v>-3.4094015695589198E-3</v>
      </c>
      <c r="MX372" s="5">
        <v>0.29167929267710402</v>
      </c>
      <c r="MY372" s="5">
        <v>-4.2403750156671E-2</v>
      </c>
      <c r="MZ372" s="5">
        <v>0.18621000509083499</v>
      </c>
      <c r="NA372" s="5">
        <v>5.1936367350740302E-2</v>
      </c>
      <c r="NB372" s="5">
        <v>0.37778690104323898</v>
      </c>
      <c r="NC372" s="5">
        <v>-0.12353552837063</v>
      </c>
      <c r="ND372" s="5">
        <v>0.31735428960215001</v>
      </c>
      <c r="NE372" s="5">
        <v>-2.4871521566286001E-2</v>
      </c>
      <c r="NF372" s="5">
        <v>0.48619482036571599</v>
      </c>
      <c r="NG372" s="5">
        <v>-0.12644667260162701</v>
      </c>
      <c r="NH372" s="5">
        <v>1</v>
      </c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</row>
    <row r="373" spans="1:389" x14ac:dyDescent="0.45">
      <c r="A373" s="4" t="str">
        <f ca="1">"UZB / beta2dist in "&amp;CELL("address",'damages-1990'!$K$187)</f>
        <v>UZB / beta2dist in '[BHM betas v3pd.xlsx]damages-1990'!$K$187</v>
      </c>
      <c r="B373" s="6">
        <v>-0.30747080078360101</v>
      </c>
      <c r="C373" s="5">
        <v>0.42870246343409102</v>
      </c>
      <c r="D373" s="5">
        <v>0.183943030206803</v>
      </c>
      <c r="E373" s="5">
        <v>-3.8922521608840702E-2</v>
      </c>
      <c r="F373" s="5">
        <v>-0.12608198844832799</v>
      </c>
      <c r="G373" s="5">
        <v>0.122335611683475</v>
      </c>
      <c r="H373" s="5">
        <v>-0.322513864556843</v>
      </c>
      <c r="I373" s="5">
        <v>0.24254248293323999</v>
      </c>
      <c r="J373" s="5">
        <v>0.19972293359802101</v>
      </c>
      <c r="K373" s="5">
        <v>-1.0732507671834901E-2</v>
      </c>
      <c r="L373" s="5">
        <v>-8.0470707009320006E-2</v>
      </c>
      <c r="M373" s="5">
        <v>0.15904413657798899</v>
      </c>
      <c r="N373" s="5">
        <v>-0.20699300413316499</v>
      </c>
      <c r="O373" s="5">
        <v>7.6707072928693207E-2</v>
      </c>
      <c r="P373" s="5">
        <v>0.105080064508895</v>
      </c>
      <c r="Q373" s="5">
        <v>5.6156903953384204E-3</v>
      </c>
      <c r="R373" s="5">
        <v>0.20944499092431901</v>
      </c>
      <c r="S373" s="5">
        <v>-7.0394809037138004E-2</v>
      </c>
      <c r="T373" s="5">
        <v>-0.181248453903082</v>
      </c>
      <c r="U373" s="5">
        <v>0.11095961468268099</v>
      </c>
      <c r="V373" s="5">
        <v>-0.32639779029595001</v>
      </c>
      <c r="W373" s="5">
        <v>0.478770990136062</v>
      </c>
      <c r="X373" s="5">
        <v>0.20637909656256401</v>
      </c>
      <c r="Y373" s="5">
        <v>-0.10373101843573</v>
      </c>
      <c r="Z373" s="5">
        <v>-0.182683240232971</v>
      </c>
      <c r="AA373" s="5">
        <v>0.129868345413308</v>
      </c>
      <c r="AB373" s="5">
        <v>0.22584074083189001</v>
      </c>
      <c r="AC373" s="5">
        <v>-0.102849439613801</v>
      </c>
      <c r="AD373" s="5">
        <v>0.14013529346535</v>
      </c>
      <c r="AE373" s="5">
        <v>-2.2770768238315399E-2</v>
      </c>
      <c r="AF373" s="5">
        <v>0.13364801965252099</v>
      </c>
      <c r="AG373" s="5">
        <v>2.73683189010855E-2</v>
      </c>
      <c r="AH373" s="5">
        <v>-0.16010519302158299</v>
      </c>
      <c r="AI373" s="5">
        <v>0.13845495444165101</v>
      </c>
      <c r="AJ373" s="5">
        <v>0.171488140857921</v>
      </c>
      <c r="AK373" s="5">
        <v>3.1191075750661101E-2</v>
      </c>
      <c r="AL373" s="5">
        <v>0.35677476117108098</v>
      </c>
      <c r="AM373" s="5">
        <v>-0.31144895055611999</v>
      </c>
      <c r="AN373" s="5">
        <v>-0.155695109037991</v>
      </c>
      <c r="AO373" s="5">
        <v>0.105069174277703</v>
      </c>
      <c r="AP373" s="5">
        <v>-0.24485852860253901</v>
      </c>
      <c r="AQ373" s="5">
        <v>0.192355377087956</v>
      </c>
      <c r="AR373" s="5">
        <v>0.340390267839834</v>
      </c>
      <c r="AS373" s="5">
        <v>-0.25260575417094</v>
      </c>
      <c r="AT373" s="5">
        <v>0.20203486392498701</v>
      </c>
      <c r="AU373" s="5">
        <v>-0.11854584375786401</v>
      </c>
      <c r="AV373" s="5">
        <v>0.28607024660757702</v>
      </c>
      <c r="AW373" s="5">
        <v>-0.16509318392189501</v>
      </c>
      <c r="AX373" s="5">
        <v>0.297321230743333</v>
      </c>
      <c r="AY373" s="5">
        <v>-0.16795846800481401</v>
      </c>
      <c r="AZ373" s="5">
        <v>0.12129463400241</v>
      </c>
      <c r="BA373" s="5">
        <v>-3.6064132767468303E-2</v>
      </c>
      <c r="BB373" s="5">
        <v>0.15109597594499799</v>
      </c>
      <c r="BC373" s="5">
        <v>4.2246384620913797E-2</v>
      </c>
      <c r="BD373" s="5">
        <v>-0.22099242920699799</v>
      </c>
      <c r="BE373" s="5">
        <v>0.26105803007265299</v>
      </c>
      <c r="BF373" s="5">
        <v>0.182216932825743</v>
      </c>
      <c r="BG373" s="5">
        <v>-3.4229514742370903E-2</v>
      </c>
      <c r="BH373" s="5">
        <v>0.195408091004108</v>
      </c>
      <c r="BI373" s="5">
        <v>-5.78607182445098E-2</v>
      </c>
      <c r="BJ373" s="5">
        <v>-0.28041566910837401</v>
      </c>
      <c r="BK373" s="5">
        <v>0.115050493776907</v>
      </c>
      <c r="BL373" s="5">
        <v>-0.200919859224338</v>
      </c>
      <c r="BM373" s="5">
        <v>0.120920020110314</v>
      </c>
      <c r="BN373" s="5">
        <v>-0.36732972312548501</v>
      </c>
      <c r="BO373" s="5">
        <v>0.30159619794334303</v>
      </c>
      <c r="BP373" s="5">
        <v>-0.33636556675412499</v>
      </c>
      <c r="BQ373" s="5">
        <v>0.31161218077399699</v>
      </c>
      <c r="BR373" s="5">
        <v>0.17156532256450199</v>
      </c>
      <c r="BS373" s="5">
        <v>-7.8555247108952203E-2</v>
      </c>
      <c r="BT373" s="5">
        <v>0.22690372011878501</v>
      </c>
      <c r="BU373" s="5">
        <v>-9.7111451122376E-2</v>
      </c>
      <c r="BV373" s="5">
        <v>0.245498893532684</v>
      </c>
      <c r="BW373" s="5">
        <v>-0.10817900220208</v>
      </c>
      <c r="BX373" s="5">
        <v>0.20591380514878099</v>
      </c>
      <c r="BY373" s="5">
        <v>-8.7636559139252904E-2</v>
      </c>
      <c r="BZ373" s="5">
        <v>0.27132077415318201</v>
      </c>
      <c r="CA373" s="5">
        <v>-0.13221271592596301</v>
      </c>
      <c r="CB373" s="5">
        <v>0.24331741642912599</v>
      </c>
      <c r="CC373" s="5">
        <v>-0.149840555575317</v>
      </c>
      <c r="CD373" s="5">
        <v>2.2241974866096302E-5</v>
      </c>
      <c r="CE373" s="5">
        <v>0.100088817820148</v>
      </c>
      <c r="CF373" s="5">
        <v>0.23724427006062801</v>
      </c>
      <c r="CG373" s="5">
        <v>-0.14223628527311399</v>
      </c>
      <c r="CH373" s="5">
        <v>0.32502885114805402</v>
      </c>
      <c r="CI373" s="5">
        <v>-0.300903737598955</v>
      </c>
      <c r="CJ373" s="5">
        <v>-5.9448373032276198E-3</v>
      </c>
      <c r="CK373" s="5">
        <v>0.118160748232323</v>
      </c>
      <c r="CL373" s="5">
        <v>-0.17742517753018</v>
      </c>
      <c r="CM373" s="5">
        <v>0.11439272677837301</v>
      </c>
      <c r="CN373" s="5">
        <v>-0.19656166698830699</v>
      </c>
      <c r="CO373" s="5">
        <v>0.14077251025658899</v>
      </c>
      <c r="CP373" s="5">
        <v>0.152516923589955</v>
      </c>
      <c r="CQ373" s="5">
        <v>-4.4106047913990601E-2</v>
      </c>
      <c r="CR373" s="5">
        <v>6.4167516758072293E-2</v>
      </c>
      <c r="CS373" s="5">
        <v>2.3510726251215398E-2</v>
      </c>
      <c r="CT373" s="5">
        <v>-0.185234553174939</v>
      </c>
      <c r="CU373" s="5">
        <v>0.11388816842192601</v>
      </c>
      <c r="CV373" s="5">
        <v>0.210003054901887</v>
      </c>
      <c r="CW373" s="5">
        <v>-0.13298682729794001</v>
      </c>
      <c r="CX373" s="5">
        <v>0.215602084560331</v>
      </c>
      <c r="CY373" s="5">
        <v>-7.1720680409370893E-2</v>
      </c>
      <c r="CZ373" s="5">
        <v>0.23740778022350301</v>
      </c>
      <c r="DA373" s="5">
        <v>-0.13502020341468901</v>
      </c>
      <c r="DB373" s="5">
        <v>0.16961104817120301</v>
      </c>
      <c r="DC373" s="5">
        <v>7.0322521763496503E-3</v>
      </c>
      <c r="DD373" s="5">
        <v>5.5225985320330601E-2</v>
      </c>
      <c r="DE373" s="5">
        <v>6.23630595496125E-2</v>
      </c>
      <c r="DF373" s="5">
        <v>0.189120583309523</v>
      </c>
      <c r="DG373" s="5">
        <v>-4.6182536076114403E-2</v>
      </c>
      <c r="DH373" s="5">
        <v>-0.114975695412964</v>
      </c>
      <c r="DI373" s="5">
        <v>0.16783361050798301</v>
      </c>
      <c r="DJ373" s="5">
        <v>-0.22917471295797501</v>
      </c>
      <c r="DK373" s="5">
        <v>0.16868299839387099</v>
      </c>
      <c r="DL373" s="5">
        <v>0.17348214196753001</v>
      </c>
      <c r="DM373" s="5">
        <v>-5.4789427513781297E-2</v>
      </c>
      <c r="DN373" s="5">
        <v>-0.29467402717177099</v>
      </c>
      <c r="DO373" s="5">
        <v>0.22667261136806899</v>
      </c>
      <c r="DP373" s="5">
        <v>0.12975242901032299</v>
      </c>
      <c r="DQ373" s="5">
        <v>-2.68745373654832E-2</v>
      </c>
      <c r="DR373" s="5">
        <v>-0.15837908219899699</v>
      </c>
      <c r="DS373" s="5">
        <v>0.13711272481455899</v>
      </c>
      <c r="DT373" s="5">
        <v>0.14657208533371399</v>
      </c>
      <c r="DU373" s="5">
        <v>-4.4590149097998202E-2</v>
      </c>
      <c r="DV373" s="5">
        <v>0.16258962167822599</v>
      </c>
      <c r="DW373" s="5">
        <v>-6.6347136781586297E-2</v>
      </c>
      <c r="DX373" s="5">
        <v>-0.243527986121055</v>
      </c>
      <c r="DY373" s="5">
        <v>0.15502150261358399</v>
      </c>
      <c r="DZ373" s="5">
        <v>-0.191877119973271</v>
      </c>
      <c r="EA373" s="5">
        <v>5.8775768411135298E-2</v>
      </c>
      <c r="EB373" s="5">
        <v>0.21576122713117199</v>
      </c>
      <c r="EC373" s="5">
        <v>-0.105464581015833</v>
      </c>
      <c r="ED373" s="5">
        <v>0.219814777402252</v>
      </c>
      <c r="EE373" s="5">
        <v>-9.34040902890938E-2</v>
      </c>
      <c r="EF373" s="5">
        <v>6.5571442335183305E-2</v>
      </c>
      <c r="EG373" s="5">
        <v>2.5718341967767101E-2</v>
      </c>
      <c r="EH373" s="5">
        <v>0.20972150399679801</v>
      </c>
      <c r="EI373" s="5">
        <v>-6.7703019301512499E-2</v>
      </c>
      <c r="EJ373" s="5">
        <v>0.198474041184457</v>
      </c>
      <c r="EK373" s="5">
        <v>-5.9388846478453099E-2</v>
      </c>
      <c r="EL373" s="5">
        <v>0.26606512609626798</v>
      </c>
      <c r="EM373" s="5">
        <v>-0.16292502500780501</v>
      </c>
      <c r="EN373" s="5">
        <v>-1.3510219444054399E-3</v>
      </c>
      <c r="EO373" s="5">
        <v>4.8583864674925099E-2</v>
      </c>
      <c r="EP373" s="5">
        <v>0.132379377271863</v>
      </c>
      <c r="EQ373" s="5">
        <v>-4.5631901465199E-2</v>
      </c>
      <c r="ER373" s="5">
        <v>0.30462091760283899</v>
      </c>
      <c r="ES373" s="5">
        <v>-0.20745417097708699</v>
      </c>
      <c r="ET373" s="5">
        <v>0.196328136016518</v>
      </c>
      <c r="EU373" s="5">
        <v>-9.9010849853401597E-2</v>
      </c>
      <c r="EV373" s="5">
        <v>0.21619598490283401</v>
      </c>
      <c r="EW373" s="5">
        <v>-9.7667693656009094E-2</v>
      </c>
      <c r="EX373" s="5">
        <v>0.25683586050791601</v>
      </c>
      <c r="EY373" s="5">
        <v>-0.18813976448053901</v>
      </c>
      <c r="EZ373" s="5">
        <v>0.28326774967297302</v>
      </c>
      <c r="FA373" s="5">
        <v>-0.17587969090237901</v>
      </c>
      <c r="FB373" s="5">
        <v>-9.39107250045534E-2</v>
      </c>
      <c r="FC373" s="5">
        <v>5.62528110910019E-2</v>
      </c>
      <c r="FD373" s="5">
        <v>0.24674006291692399</v>
      </c>
      <c r="FE373" s="5">
        <v>-0.18344310318993201</v>
      </c>
      <c r="FF373" s="5">
        <v>-0.15321184196540499</v>
      </c>
      <c r="FG373" s="5">
        <v>0.120522612822553</v>
      </c>
      <c r="FH373" s="5">
        <v>0.22641965688592899</v>
      </c>
      <c r="FI373" s="5">
        <v>-0.1041278974033</v>
      </c>
      <c r="FJ373" s="5">
        <v>0.14049734501257199</v>
      </c>
      <c r="FK373" s="5">
        <v>5.0548510076499999E-2</v>
      </c>
      <c r="FL373" s="5">
        <v>-0.25217303781239597</v>
      </c>
      <c r="FM373" s="5">
        <v>0.154637056568487</v>
      </c>
      <c r="FN373" s="5">
        <v>-8.3596498595798097E-2</v>
      </c>
      <c r="FO373" s="5">
        <v>0.22446696529073501</v>
      </c>
      <c r="FP373" s="5">
        <v>0.103942951636216</v>
      </c>
      <c r="FQ373" s="5">
        <v>6.5743645833482606E-2</v>
      </c>
      <c r="FR373" s="5">
        <v>-0.24133862378943199</v>
      </c>
      <c r="FS373" s="5">
        <v>0.13384713486170699</v>
      </c>
      <c r="FT373" s="5">
        <v>0.120118173500218</v>
      </c>
      <c r="FU373" s="5">
        <v>3.1639855162189097E-2</v>
      </c>
      <c r="FV373" s="5">
        <v>-4.9572783244853001E-2</v>
      </c>
      <c r="FW373" s="5">
        <v>4.3214409376912601E-2</v>
      </c>
      <c r="FX373" s="5">
        <v>0.33295741056017097</v>
      </c>
      <c r="FY373" s="5">
        <v>-0.26933343120005299</v>
      </c>
      <c r="FZ373" s="5">
        <v>0.11962265939545901</v>
      </c>
      <c r="GA373" s="5">
        <v>3.82409343330469E-2</v>
      </c>
      <c r="GB373" s="5">
        <v>-0.195246830179758</v>
      </c>
      <c r="GC373" s="5">
        <v>0.198994060661592</v>
      </c>
      <c r="GD373" s="5">
        <v>-0.311825859073391</v>
      </c>
      <c r="GE373" s="5">
        <v>0.229171643360152</v>
      </c>
      <c r="GF373" s="5">
        <v>0.158291364236333</v>
      </c>
      <c r="GG373" s="5">
        <v>-3.1926205599889998E-2</v>
      </c>
      <c r="GH373" s="5">
        <v>-0.33425712623552301</v>
      </c>
      <c r="GI373" s="5">
        <v>0.17942891460244301</v>
      </c>
      <c r="GJ373" s="5">
        <v>0.33612960307566098</v>
      </c>
      <c r="GK373" s="5">
        <v>-0.27792201464314398</v>
      </c>
      <c r="GL373" s="5">
        <v>0.102200646538402</v>
      </c>
      <c r="GM373" s="5">
        <v>9.3118199732118399E-3</v>
      </c>
      <c r="GN373" s="5">
        <v>-0.14169808577508</v>
      </c>
      <c r="GO373" s="5">
        <v>0.15975896378072399</v>
      </c>
      <c r="GP373" s="5">
        <v>0.17773164407297601</v>
      </c>
      <c r="GQ373" s="5">
        <v>9.8359647290944593E-3</v>
      </c>
      <c r="GR373" s="5">
        <v>0.25347753083623698</v>
      </c>
      <c r="GS373" s="5">
        <v>-0.20779279197503001</v>
      </c>
      <c r="GT373" s="5">
        <v>-3.62416034214733E-3</v>
      </c>
      <c r="GU373" s="5">
        <v>7.7542043649947504E-2</v>
      </c>
      <c r="GV373" s="5">
        <v>0.19307312845935301</v>
      </c>
      <c r="GW373" s="5">
        <v>-0.13189644833424599</v>
      </c>
      <c r="GX373" s="5">
        <v>0.170197465037944</v>
      </c>
      <c r="GY373" s="5">
        <v>-4.39089855535564E-2</v>
      </c>
      <c r="GZ373" s="5">
        <v>-0.19825808456143801</v>
      </c>
      <c r="HA373" s="5">
        <v>0.124374965424115</v>
      </c>
      <c r="HB373" s="5">
        <v>0.288002250921641</v>
      </c>
      <c r="HC373" s="5">
        <v>-0.18116852778511</v>
      </c>
      <c r="HD373" s="5">
        <v>-0.21494644442958</v>
      </c>
      <c r="HE373" s="5">
        <v>0.25454731716844597</v>
      </c>
      <c r="HF373" s="5">
        <v>-0.24307437351497399</v>
      </c>
      <c r="HG373" s="5">
        <v>0.190436030651876</v>
      </c>
      <c r="HH373" s="5">
        <v>-0.19332243046400899</v>
      </c>
      <c r="HI373" s="5">
        <v>0.14112945101527599</v>
      </c>
      <c r="HJ373" s="5">
        <v>-0.23373119226708799</v>
      </c>
      <c r="HK373" s="5">
        <v>0.17457151726484699</v>
      </c>
      <c r="HL373" s="5">
        <v>0.137954179926949</v>
      </c>
      <c r="HM373" s="5">
        <v>-3.46160794260457E-2</v>
      </c>
      <c r="HN373" s="5">
        <v>-0.219623659905301</v>
      </c>
      <c r="HO373" s="5">
        <v>0.19428715851213799</v>
      </c>
      <c r="HP373" s="5">
        <v>0.17021152175354701</v>
      </c>
      <c r="HQ373" s="5">
        <v>-4.4190706615875097E-2</v>
      </c>
      <c r="HR373" s="5">
        <v>0.272070777634211</v>
      </c>
      <c r="HS373" s="5">
        <v>-0.237232684464277</v>
      </c>
      <c r="HT373" s="5">
        <v>-0.17303512081824099</v>
      </c>
      <c r="HU373" s="5">
        <v>0.145358106678702</v>
      </c>
      <c r="HV373" s="5">
        <v>0.12522674303235601</v>
      </c>
      <c r="HW373" s="5">
        <v>9.7605581110013894E-3</v>
      </c>
      <c r="HX373" s="5">
        <v>0.257942427229783</v>
      </c>
      <c r="HY373" s="5">
        <v>-0.14715253831597999</v>
      </c>
      <c r="HZ373" s="5">
        <v>-0.19060634283761901</v>
      </c>
      <c r="IA373" s="5">
        <v>0.13336389195671999</v>
      </c>
      <c r="IB373" s="5">
        <v>-0.250961576747673</v>
      </c>
      <c r="IC373" s="5">
        <v>0.135061875388299</v>
      </c>
      <c r="ID373" s="5">
        <v>0.210866564068493</v>
      </c>
      <c r="IE373" s="5">
        <v>-2.9479587791153498E-2</v>
      </c>
      <c r="IF373" s="5">
        <v>0.192970509776038</v>
      </c>
      <c r="IG373" s="5">
        <v>-3.60856471031928E-2</v>
      </c>
      <c r="IH373" s="5">
        <v>8.7285997424040904E-2</v>
      </c>
      <c r="II373" s="5">
        <v>3.7312342107119899E-3</v>
      </c>
      <c r="IJ373" s="5">
        <v>0.19263273484920199</v>
      </c>
      <c r="IK373" s="5">
        <v>-0.140736335153436</v>
      </c>
      <c r="IL373" s="5">
        <v>0.151839450868333</v>
      </c>
      <c r="IM373" s="5">
        <v>1.4037410479898199E-2</v>
      </c>
      <c r="IN373" s="5">
        <v>0.211204158751888</v>
      </c>
      <c r="IO373" s="5">
        <v>-5.60320868025753E-2</v>
      </c>
      <c r="IP373" s="5">
        <v>0.17800168300601499</v>
      </c>
      <c r="IQ373" s="5">
        <v>-2.4482649130885902E-2</v>
      </c>
      <c r="IR373" s="5">
        <v>0.133172973715071</v>
      </c>
      <c r="IS373" s="5">
        <v>3.4750660848702E-2</v>
      </c>
      <c r="IT373" s="5">
        <v>0.103027671148849</v>
      </c>
      <c r="IU373" s="5">
        <v>2.9325304741372699E-2</v>
      </c>
      <c r="IV373" s="5">
        <v>0.150430922495841</v>
      </c>
      <c r="IW373" s="5">
        <v>-4.3145551892015001E-2</v>
      </c>
      <c r="IX373" s="5">
        <v>0.25607980460565499</v>
      </c>
      <c r="IY373" s="5">
        <v>-0.15715063468505699</v>
      </c>
      <c r="IZ373" s="5">
        <v>-0.16269842931048101</v>
      </c>
      <c r="JA373" s="5">
        <v>0.103451535115072</v>
      </c>
      <c r="JB373" s="5">
        <v>-0.28605371773653798</v>
      </c>
      <c r="JC373" s="5">
        <v>0.20572944046012001</v>
      </c>
      <c r="JD373" s="5">
        <v>-0.19011586676658199</v>
      </c>
      <c r="JE373" s="5">
        <v>0.31505197526650602</v>
      </c>
      <c r="JF373" s="5">
        <v>0.1439834658337</v>
      </c>
      <c r="JG373" s="5">
        <v>-8.9882569961620098E-2</v>
      </c>
      <c r="JH373" s="5">
        <v>-8.5920050359892496E-3</v>
      </c>
      <c r="JI373" s="5">
        <v>-0.18161207502534399</v>
      </c>
      <c r="JJ373" s="5">
        <v>0.167118261627898</v>
      </c>
      <c r="JK373" s="5">
        <v>3.4003920596946E-2</v>
      </c>
      <c r="JL373" s="5">
        <v>4.0876245603777499E-2</v>
      </c>
      <c r="JM373" s="5">
        <v>0.127011834210252</v>
      </c>
      <c r="JN373" s="5">
        <v>0.26481647971677003</v>
      </c>
      <c r="JO373" s="5">
        <v>-0.17093988528983201</v>
      </c>
      <c r="JP373" s="5">
        <v>0.21848505325024001</v>
      </c>
      <c r="JQ373" s="5">
        <v>-7.7771875301311605E-2</v>
      </c>
      <c r="JR373" s="5">
        <v>0.27875053855440701</v>
      </c>
      <c r="JS373" s="5">
        <v>-0.117977137821725</v>
      </c>
      <c r="JT373" s="5">
        <v>9.6454538850458002E-2</v>
      </c>
      <c r="JU373" s="5">
        <v>5.3529429647831403E-2</v>
      </c>
      <c r="JV373" s="5">
        <v>0.221558381917872</v>
      </c>
      <c r="JW373" s="5">
        <v>-8.7359998146259804E-2</v>
      </c>
      <c r="JX373" s="5">
        <v>-0.21525491986213499</v>
      </c>
      <c r="JY373" s="5">
        <v>0.168299122924813</v>
      </c>
      <c r="JZ373" s="5">
        <v>0.12834024769855401</v>
      </c>
      <c r="KA373" s="5">
        <v>-3.0490269393209299E-2</v>
      </c>
      <c r="KB373" s="5">
        <v>-0.23607100283451601</v>
      </c>
      <c r="KC373" s="5">
        <v>0.142113759077373</v>
      </c>
      <c r="KD373" s="5">
        <v>1.2418723966393101E-2</v>
      </c>
      <c r="KE373" s="5">
        <v>4.9126622348025499E-2</v>
      </c>
      <c r="KF373" s="5">
        <v>0.30337352312606802</v>
      </c>
      <c r="KG373" s="5">
        <v>-0.22519233262240801</v>
      </c>
      <c r="KH373" s="5">
        <v>0.105553263792856</v>
      </c>
      <c r="KI373" s="5">
        <v>3.5097491398991099E-2</v>
      </c>
      <c r="KJ373" s="5">
        <v>0.17246046832554299</v>
      </c>
      <c r="KK373" s="5">
        <v>2.6522548593474301E-2</v>
      </c>
      <c r="KL373" s="5">
        <v>0.192303586424591</v>
      </c>
      <c r="KM373" s="5">
        <v>-0.18855683722918501</v>
      </c>
      <c r="KN373" s="5">
        <v>-0.23390330225741399</v>
      </c>
      <c r="KO373" s="5">
        <v>0.19908089402405199</v>
      </c>
      <c r="KP373" s="5">
        <v>-0.38999178741123203</v>
      </c>
      <c r="KQ373" s="5">
        <v>0.30549762103111799</v>
      </c>
      <c r="KR373" s="5">
        <v>0.147823937804727</v>
      </c>
      <c r="KS373" s="5">
        <v>-8.43416914394165E-2</v>
      </c>
      <c r="KT373" s="5">
        <v>0.19878275063710199</v>
      </c>
      <c r="KU373" s="5">
        <v>-3.2919667859947398E-2</v>
      </c>
      <c r="KV373" s="5">
        <v>9.1157690672267394E-2</v>
      </c>
      <c r="KW373" s="5">
        <v>5.6691515124528101E-2</v>
      </c>
      <c r="KX373" s="5">
        <v>0.204703988213432</v>
      </c>
      <c r="KY373" s="5">
        <v>-5.8065588624403697E-2</v>
      </c>
      <c r="KZ373" s="5">
        <v>0.19371437189021801</v>
      </c>
      <c r="LA373" s="5">
        <v>-0.112258038688236</v>
      </c>
      <c r="LB373" s="5">
        <v>0.21758411109009601</v>
      </c>
      <c r="LC373" s="5">
        <v>-9.5913517005346102E-2</v>
      </c>
      <c r="LD373" s="5">
        <v>0.31410695249024301</v>
      </c>
      <c r="LE373" s="5">
        <v>-0.22256445360577701</v>
      </c>
      <c r="LF373" s="5">
        <v>-0.15107304583615899</v>
      </c>
      <c r="LG373" s="5">
        <v>0.13889663833024099</v>
      </c>
      <c r="LH373" s="5">
        <v>0.232870253658881</v>
      </c>
      <c r="LI373" s="5">
        <v>-8.6096709414850703E-2</v>
      </c>
      <c r="LJ373" s="5">
        <v>-0.16138564089112101</v>
      </c>
      <c r="LK373" s="5">
        <v>0.13921930433819199</v>
      </c>
      <c r="LL373" s="5">
        <v>0.20749198632274601</v>
      </c>
      <c r="LM373" s="5">
        <v>-0.10083763346417</v>
      </c>
      <c r="LN373" s="5">
        <v>0.20991498076587001</v>
      </c>
      <c r="LO373" s="5">
        <v>-0.108657411711107</v>
      </c>
      <c r="LP373" s="5">
        <v>0.19000555841029601</v>
      </c>
      <c r="LQ373" s="5">
        <v>-9.5228265013250199E-2</v>
      </c>
      <c r="LR373" s="5">
        <v>-0.19489245621550799</v>
      </c>
      <c r="LS373" s="5">
        <v>0.13769519180005399</v>
      </c>
      <c r="LT373" s="5">
        <v>-0.16735017284058501</v>
      </c>
      <c r="LU373" s="5">
        <v>0.111523770238478</v>
      </c>
      <c r="LV373" s="5">
        <v>-0.242279617139258</v>
      </c>
      <c r="LW373" s="5">
        <v>0.17443859843092399</v>
      </c>
      <c r="LX373" s="5">
        <v>2.5117502939752099E-2</v>
      </c>
      <c r="LY373" s="5">
        <v>0.11490787516417</v>
      </c>
      <c r="LZ373" s="5">
        <v>0.116158787730525</v>
      </c>
      <c r="MA373" s="5">
        <v>1.2434668142866701E-2</v>
      </c>
      <c r="MB373" s="5">
        <v>0.21869726120438299</v>
      </c>
      <c r="MC373" s="5">
        <v>-0.10633507658701701</v>
      </c>
      <c r="MD373" s="5">
        <v>0.30231858232207498</v>
      </c>
      <c r="ME373" s="5">
        <v>-0.25712267795386301</v>
      </c>
      <c r="MF373" s="5">
        <v>-0.330712977683292</v>
      </c>
      <c r="MG373" s="5">
        <v>0.170993463095889</v>
      </c>
      <c r="MH373" s="5">
        <v>-0.329758298138771</v>
      </c>
      <c r="MI373" s="5">
        <v>0.51095940116057403</v>
      </c>
      <c r="MJ373" s="5">
        <v>7.2543655421903996E-2</v>
      </c>
      <c r="MK373" s="5">
        <v>3.7691918757014803E-2</v>
      </c>
      <c r="ML373" s="5">
        <v>9.5352228215963897E-2</v>
      </c>
      <c r="MM373" s="5">
        <v>-6.7299410795728501E-2</v>
      </c>
      <c r="MN373" s="5">
        <v>0.11852649637606499</v>
      </c>
      <c r="MO373" s="5">
        <v>-3.1748981509840901E-2</v>
      </c>
      <c r="MP373" s="5">
        <v>0.20663828490247399</v>
      </c>
      <c r="MQ373" s="5">
        <v>-0.105346713185104</v>
      </c>
      <c r="MR373" s="5">
        <v>-0.14150066803401201</v>
      </c>
      <c r="MS373" s="5">
        <v>0.13680790299638401</v>
      </c>
      <c r="MT373" s="5">
        <v>4.2893154620198097E-2</v>
      </c>
      <c r="MU373" s="5">
        <v>1.3912875429533299E-2</v>
      </c>
      <c r="MV373" s="5">
        <v>0.15763481124918099</v>
      </c>
      <c r="MW373" s="5">
        <v>-9.8322444011566201E-2</v>
      </c>
      <c r="MX373" s="5">
        <v>0.14914294587728599</v>
      </c>
      <c r="MY373" s="5">
        <v>-4.5424662447716303E-3</v>
      </c>
      <c r="MZ373" s="5">
        <v>0.18765598933717501</v>
      </c>
      <c r="NA373" s="5">
        <v>-0.13337393371734199</v>
      </c>
      <c r="NB373" s="5">
        <v>-0.231333438958853</v>
      </c>
      <c r="NC373" s="5">
        <v>0.18623522082087299</v>
      </c>
      <c r="ND373" s="5">
        <v>6.7084962938262799E-2</v>
      </c>
      <c r="NE373" s="5">
        <v>2.0022414959095201E-2</v>
      </c>
      <c r="NF373" s="5">
        <v>-0.348617251388048</v>
      </c>
      <c r="NG373" s="5">
        <v>0.29972038312138399</v>
      </c>
      <c r="NH373" s="5">
        <v>-0.71683364160889496</v>
      </c>
      <c r="NI373" s="5">
        <v>1</v>
      </c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</row>
    <row r="374" spans="1:389" x14ac:dyDescent="0.45">
      <c r="A374" s="4" t="str">
        <f ca="1">"VEN / beta1dist in "&amp;CELL("address",'damages-1990'!$J$188)</f>
        <v>VEN / beta1dist in '[BHM betas v3pd.xlsx]damages-1990'!$J$188</v>
      </c>
      <c r="B374" s="6">
        <v>0.20476832911510701</v>
      </c>
      <c r="C374" s="5">
        <v>0.122780802850416</v>
      </c>
      <c r="D374" s="5">
        <v>0.68258756995556802</v>
      </c>
      <c r="E374" s="5">
        <v>-0.41537951362393599</v>
      </c>
      <c r="F374" s="5">
        <v>0.13981683597136901</v>
      </c>
      <c r="G374" s="5">
        <v>6.2005025471977199E-2</v>
      </c>
      <c r="H374" s="5">
        <v>-0.11270337958301101</v>
      </c>
      <c r="I374" s="5">
        <v>6.9704407062237794E-2</v>
      </c>
      <c r="J374" s="5">
        <v>0.54491851011432402</v>
      </c>
      <c r="K374" s="5">
        <v>-0.248004300889272</v>
      </c>
      <c r="L374" s="5">
        <v>0.34178340966950899</v>
      </c>
      <c r="M374" s="5">
        <v>-1.32137591438484E-2</v>
      </c>
      <c r="N374" s="5">
        <v>-1.6904412540581198E-2</v>
      </c>
      <c r="O374" s="5">
        <v>7.8645374914407505E-3</v>
      </c>
      <c r="P374" s="5">
        <v>0.44405335715427402</v>
      </c>
      <c r="Q374" s="5">
        <v>-0.28008260662019802</v>
      </c>
      <c r="R374" s="5">
        <v>0.67279903821758802</v>
      </c>
      <c r="S374" s="5">
        <v>-0.45758272281116102</v>
      </c>
      <c r="T374" s="5">
        <v>8.5551761745898799E-4</v>
      </c>
      <c r="U374" s="5">
        <v>-2.61641330685283E-2</v>
      </c>
      <c r="V374" s="5">
        <v>0.13493956349932801</v>
      </c>
      <c r="W374" s="5">
        <v>0.24484312683776599</v>
      </c>
      <c r="X374" s="5">
        <v>0.680938216730268</v>
      </c>
      <c r="Y374" s="5">
        <v>-0.40488668589063598</v>
      </c>
      <c r="Z374" s="5">
        <v>5.0282420054913603E-2</v>
      </c>
      <c r="AA374" s="5">
        <v>2.5947880506665098E-4</v>
      </c>
      <c r="AB374" s="5">
        <v>0.71968920090658695</v>
      </c>
      <c r="AC374" s="5">
        <v>-0.531448090090064</v>
      </c>
      <c r="AD374" s="5">
        <v>0.61554941391038298</v>
      </c>
      <c r="AE374" s="5">
        <v>-0.38226999949830898</v>
      </c>
      <c r="AF374" s="5">
        <v>0.310771428844417</v>
      </c>
      <c r="AG374" s="5">
        <v>-6.9235885767361699E-2</v>
      </c>
      <c r="AH374" s="5">
        <v>0.10821376708432601</v>
      </c>
      <c r="AI374" s="5">
        <v>4.6949091095781402E-2</v>
      </c>
      <c r="AJ374" s="5">
        <v>0.48960539006296899</v>
      </c>
      <c r="AK374" s="5">
        <v>-0.18395819168820701</v>
      </c>
      <c r="AL374" s="5">
        <v>0.35039537553491301</v>
      </c>
      <c r="AM374" s="5">
        <v>-0.183107314963257</v>
      </c>
      <c r="AN374" s="5">
        <v>4.6999746631073099E-2</v>
      </c>
      <c r="AO374" s="5">
        <v>3.1936135915172102E-2</v>
      </c>
      <c r="AP374" s="5">
        <v>-7.0181248353373096E-2</v>
      </c>
      <c r="AQ374" s="5">
        <v>5.63388103766524E-2</v>
      </c>
      <c r="AR374" s="5">
        <v>0.54791639666412895</v>
      </c>
      <c r="AS374" s="5">
        <v>-0.35756811135113498</v>
      </c>
      <c r="AT374" s="5">
        <v>0.18143386070068701</v>
      </c>
      <c r="AU374" s="5">
        <v>3.04577856361786E-2</v>
      </c>
      <c r="AV374" s="5">
        <v>0.68606843242863103</v>
      </c>
      <c r="AW374" s="5">
        <v>-0.51442432320730902</v>
      </c>
      <c r="AX374" s="5">
        <v>0.75688442687730195</v>
      </c>
      <c r="AY374" s="5">
        <v>-0.60345921280147397</v>
      </c>
      <c r="AZ374" s="5">
        <v>0.46593261901473199</v>
      </c>
      <c r="BA374" s="5">
        <v>-0.312577956891127</v>
      </c>
      <c r="BB374" s="5">
        <v>0.62061422591927595</v>
      </c>
      <c r="BC374" s="5">
        <v>-0.32089922611737298</v>
      </c>
      <c r="BD374" s="5">
        <v>4.3944036668437103E-2</v>
      </c>
      <c r="BE374" s="5">
        <v>0.26724461098132701</v>
      </c>
      <c r="BF374" s="5">
        <v>0.51319283851970499</v>
      </c>
      <c r="BG374" s="5">
        <v>-0.28429798295443998</v>
      </c>
      <c r="BH374" s="5">
        <v>0.73151332442628703</v>
      </c>
      <c r="BI374" s="5">
        <v>-0.50929904906783197</v>
      </c>
      <c r="BJ374" s="5">
        <v>-0.418712952514389</v>
      </c>
      <c r="BK374" s="5">
        <v>0.40303690692114003</v>
      </c>
      <c r="BL374" s="5">
        <v>4.3072060732633602E-2</v>
      </c>
      <c r="BM374" s="5">
        <v>-0.10119412846786199</v>
      </c>
      <c r="BN374" s="5">
        <v>-0.19098734387015601</v>
      </c>
      <c r="BO374" s="5">
        <v>0.30505939440994601</v>
      </c>
      <c r="BP374" s="5">
        <v>-0.24678136481316401</v>
      </c>
      <c r="BQ374" s="5">
        <v>0.431359457342057</v>
      </c>
      <c r="BR374" s="5">
        <v>0.68944420897106196</v>
      </c>
      <c r="BS374" s="5">
        <v>-0.47571447502744002</v>
      </c>
      <c r="BT374" s="5">
        <v>0.74614569041991297</v>
      </c>
      <c r="BU374" s="5">
        <v>-0.55239478685377597</v>
      </c>
      <c r="BV374" s="5">
        <v>0.75600195098045997</v>
      </c>
      <c r="BW374" s="5">
        <v>-0.51215341280067905</v>
      </c>
      <c r="BX374" s="5">
        <v>0.76381497358748696</v>
      </c>
      <c r="BY374" s="5">
        <v>-0.57968665471410197</v>
      </c>
      <c r="BZ374" s="5">
        <v>0.81330841861312397</v>
      </c>
      <c r="CA374" s="5">
        <v>-0.618960852999213</v>
      </c>
      <c r="CB374" s="5">
        <v>0.57766762284680195</v>
      </c>
      <c r="CC374" s="5">
        <v>-0.46834035198826102</v>
      </c>
      <c r="CD374" s="5">
        <v>0.25917400263755402</v>
      </c>
      <c r="CE374" s="5">
        <v>-8.1565477627746102E-2</v>
      </c>
      <c r="CF374" s="5">
        <v>0.65341734871350299</v>
      </c>
      <c r="CG374" s="5">
        <v>-0.47648888860323102</v>
      </c>
      <c r="CH374" s="5">
        <v>0.33774925002938999</v>
      </c>
      <c r="CI374" s="5">
        <v>-0.189646316045647</v>
      </c>
      <c r="CJ374" s="5">
        <v>0.14395304604227299</v>
      </c>
      <c r="CK374" s="5">
        <v>4.5874150455850901E-2</v>
      </c>
      <c r="CL374" s="5">
        <v>1.9689743726332698E-3</v>
      </c>
      <c r="CM374" s="5">
        <v>1.5284687280082299E-2</v>
      </c>
      <c r="CN374" s="5">
        <v>1.9286113104569302E-2</v>
      </c>
      <c r="CO374" s="5">
        <v>1.6557381272878799E-2</v>
      </c>
      <c r="CP374" s="5">
        <v>0.479598505937266</v>
      </c>
      <c r="CQ374" s="5">
        <v>-0.268803088662595</v>
      </c>
      <c r="CR374" s="5">
        <v>0.48037488713377502</v>
      </c>
      <c r="CS374" s="5">
        <v>-0.30615394097363402</v>
      </c>
      <c r="CT374" s="5">
        <v>-9.9781367330811707E-3</v>
      </c>
      <c r="CU374" s="5">
        <v>1.8644922269167501E-3</v>
      </c>
      <c r="CV374" s="5">
        <v>0.63409405121406004</v>
      </c>
      <c r="CW374" s="5">
        <v>-0.44392403573453498</v>
      </c>
      <c r="CX374" s="5">
        <v>0.54418600647189797</v>
      </c>
      <c r="CY374" s="5">
        <v>-0.27694196474490201</v>
      </c>
      <c r="CZ374" s="5">
        <v>0.793177897731425</v>
      </c>
      <c r="DA374" s="5">
        <v>-0.61173474450724297</v>
      </c>
      <c r="DB374" s="5">
        <v>0.434725778901001</v>
      </c>
      <c r="DC374" s="5">
        <v>-6.0125344562389799E-2</v>
      </c>
      <c r="DD374" s="5">
        <v>0.47890776444563199</v>
      </c>
      <c r="DE374" s="5">
        <v>-0.24736705788093399</v>
      </c>
      <c r="DF374" s="5">
        <v>0.48148277632588798</v>
      </c>
      <c r="DG374" s="5">
        <v>-0.24566503184809699</v>
      </c>
      <c r="DH374" s="5">
        <v>0.25392460523889299</v>
      </c>
      <c r="DI374" s="5">
        <v>-3.6388541111247501E-2</v>
      </c>
      <c r="DJ374" s="5">
        <v>-0.14301499275987301</v>
      </c>
      <c r="DK374" s="5">
        <v>0.100162799565909</v>
      </c>
      <c r="DL374" s="5">
        <v>0.53813467123449799</v>
      </c>
      <c r="DM374" s="5">
        <v>-0.28392536669322399</v>
      </c>
      <c r="DN374" s="5">
        <v>-0.223920345550149</v>
      </c>
      <c r="DO374" s="5">
        <v>0.142701689250227</v>
      </c>
      <c r="DP374" s="5">
        <v>0.227496195281672</v>
      </c>
      <c r="DQ374" s="5">
        <v>5.9305857847138703E-2</v>
      </c>
      <c r="DR374" s="5">
        <v>9.8855420042245803E-2</v>
      </c>
      <c r="DS374" s="5">
        <v>2.7071276437917499E-2</v>
      </c>
      <c r="DT374" s="5">
        <v>0.35802046652310299</v>
      </c>
      <c r="DU374" s="5">
        <v>-0.18653710862241499</v>
      </c>
      <c r="DV374" s="5">
        <v>0.71665540008697703</v>
      </c>
      <c r="DW374" s="5">
        <v>-0.56337961835962702</v>
      </c>
      <c r="DX374" s="5">
        <v>-5.34250958301749E-2</v>
      </c>
      <c r="DY374" s="5">
        <v>6.0122905966705699E-2</v>
      </c>
      <c r="DZ374" s="5">
        <v>1.5889235274372301E-2</v>
      </c>
      <c r="EA374" s="5">
        <v>-3.0209840530746199E-2</v>
      </c>
      <c r="EB374" s="5">
        <v>0.746842622599312</v>
      </c>
      <c r="EC374" s="5">
        <v>-0.51764438550103398</v>
      </c>
      <c r="ED374" s="5">
        <v>0.72951835014858302</v>
      </c>
      <c r="EE374" s="5">
        <v>-0.469716110450349</v>
      </c>
      <c r="EF374" s="5">
        <v>0.45995948615051901</v>
      </c>
      <c r="EG374" s="5">
        <v>-0.29303687347008001</v>
      </c>
      <c r="EH374" s="5">
        <v>0.62958766262006505</v>
      </c>
      <c r="EI374" s="5">
        <v>-0.35334777085699198</v>
      </c>
      <c r="EJ374" s="5">
        <v>0.63062861042904195</v>
      </c>
      <c r="EK374" s="5">
        <v>-0.358413640060392</v>
      </c>
      <c r="EL374" s="5">
        <v>0.80153021975469896</v>
      </c>
      <c r="EM374" s="5">
        <v>-0.62256992872082495</v>
      </c>
      <c r="EN374" s="5">
        <v>0.21456461705891</v>
      </c>
      <c r="EO374" s="5">
        <v>8.6777321183895695E-3</v>
      </c>
      <c r="EP374" s="5">
        <v>0.54877852714520503</v>
      </c>
      <c r="EQ374" s="5">
        <v>-0.39744653386234302</v>
      </c>
      <c r="ER374" s="5">
        <v>0.580459742367052</v>
      </c>
      <c r="ES374" s="5">
        <v>-0.36456688018074801</v>
      </c>
      <c r="ET374" s="5">
        <v>0.56702845269816704</v>
      </c>
      <c r="EU374" s="5">
        <v>-0.45135082457521702</v>
      </c>
      <c r="EV374" s="5">
        <v>0.65305847201709499</v>
      </c>
      <c r="EW374" s="5">
        <v>-0.54419715895892795</v>
      </c>
      <c r="EX374" s="5">
        <v>0.32175718717990298</v>
      </c>
      <c r="EY374" s="5">
        <v>-0.190289937651305</v>
      </c>
      <c r="EZ374" s="5">
        <v>0.56870238438556497</v>
      </c>
      <c r="FA374" s="5">
        <v>-0.36303488579292997</v>
      </c>
      <c r="FB374" s="5">
        <v>0.118010069678218</v>
      </c>
      <c r="FC374" s="5">
        <v>4.28636737261213E-2</v>
      </c>
      <c r="FD374" s="5">
        <v>0.59819502831112303</v>
      </c>
      <c r="FE374" s="5">
        <v>-0.418786366694409</v>
      </c>
      <c r="FF374" s="5">
        <v>7.2582693394726699E-2</v>
      </c>
      <c r="FG374" s="5">
        <v>5.5452034943840503E-2</v>
      </c>
      <c r="FH374" s="5">
        <v>0.60455155276223105</v>
      </c>
      <c r="FI374" s="5">
        <v>-0.42597741754478202</v>
      </c>
      <c r="FJ374" s="5">
        <v>0.54309399453917495</v>
      </c>
      <c r="FK374" s="5">
        <v>-0.209306698290984</v>
      </c>
      <c r="FL374" s="5">
        <v>-0.13248053502818799</v>
      </c>
      <c r="FM374" s="5">
        <v>0.17542314861341901</v>
      </c>
      <c r="FN374" s="5">
        <v>0.35521664811039899</v>
      </c>
      <c r="FO374" s="5">
        <v>-1.0630408275298099E-2</v>
      </c>
      <c r="FP374" s="5">
        <v>0.41453948454246597</v>
      </c>
      <c r="FQ374" s="5">
        <v>-6.95809021641626E-2</v>
      </c>
      <c r="FR374" s="5">
        <v>-0.24837880844746199</v>
      </c>
      <c r="FS374" s="5">
        <v>0.14558136490462401</v>
      </c>
      <c r="FT374" s="5">
        <v>0.39534155424002698</v>
      </c>
      <c r="FU374" s="5">
        <v>-5.4597911170093702E-2</v>
      </c>
      <c r="FV374" s="5">
        <v>0.187747973841244</v>
      </c>
      <c r="FW374" s="5">
        <v>3.3722015530143999E-2</v>
      </c>
      <c r="FX374" s="5">
        <v>0.56200081241768995</v>
      </c>
      <c r="FY374" s="5">
        <v>-0.38238380020248802</v>
      </c>
      <c r="FZ374" s="5">
        <v>0.45483909653993498</v>
      </c>
      <c r="GA374" s="5">
        <v>-8.6002742755615105E-2</v>
      </c>
      <c r="GB374" s="5">
        <v>0.100965628537733</v>
      </c>
      <c r="GC374" s="5">
        <v>9.4216502105395894E-2</v>
      </c>
      <c r="GD374" s="5">
        <v>-0.20862599048321101</v>
      </c>
      <c r="GE374" s="5">
        <v>0.222003457928627</v>
      </c>
      <c r="GF374" s="5">
        <v>0.52513548389021902</v>
      </c>
      <c r="GG374" s="5">
        <v>-0.29377019745530503</v>
      </c>
      <c r="GH374" s="5">
        <v>-0.477176406756187</v>
      </c>
      <c r="GI374" s="5">
        <v>0.45145092020883898</v>
      </c>
      <c r="GJ374" s="5">
        <v>0.59847822308759702</v>
      </c>
      <c r="GK374" s="5">
        <v>-0.49363080634707901</v>
      </c>
      <c r="GL374" s="5">
        <v>0.465634214334189</v>
      </c>
      <c r="GM374" s="5">
        <v>-0.28492966614016901</v>
      </c>
      <c r="GN374" s="5">
        <v>0.12859796752460001</v>
      </c>
      <c r="GO374" s="5">
        <v>8.3541462983956594E-2</v>
      </c>
      <c r="GP374" s="5">
        <v>0.49586296340635899</v>
      </c>
      <c r="GQ374" s="5">
        <v>-0.17900109009368101</v>
      </c>
      <c r="GR374" s="5">
        <v>0.62958859241805998</v>
      </c>
      <c r="GS374" s="5">
        <v>-0.51189969455365003</v>
      </c>
      <c r="GT374" s="5">
        <v>0.23557313226934001</v>
      </c>
      <c r="GU374" s="5">
        <v>9.9886224167304E-2</v>
      </c>
      <c r="GV374" s="5">
        <v>0.71632307858741995</v>
      </c>
      <c r="GW374" s="5">
        <v>-0.58916983516467902</v>
      </c>
      <c r="GX374" s="5">
        <v>0.451923708627472</v>
      </c>
      <c r="GY374" s="5">
        <v>-0.17926196191004501</v>
      </c>
      <c r="GZ374" s="5">
        <v>3.1629515811098699E-2</v>
      </c>
      <c r="HA374" s="5">
        <v>-8.0403706366182395E-2</v>
      </c>
      <c r="HB374" s="5">
        <v>0.63701462731264402</v>
      </c>
      <c r="HC374" s="5">
        <v>-0.47097925450553701</v>
      </c>
      <c r="HD374" s="5">
        <v>9.19721300570331E-2</v>
      </c>
      <c r="HE374" s="5">
        <v>0.22826404137109799</v>
      </c>
      <c r="HF374" s="5">
        <v>-9.5692946768064197E-2</v>
      </c>
      <c r="HG374" s="5">
        <v>7.8032762188961394E-2</v>
      </c>
      <c r="HH374" s="5">
        <v>3.6997347865170602E-2</v>
      </c>
      <c r="HI374" s="5">
        <v>3.4471766085065201E-3</v>
      </c>
      <c r="HJ374" s="5">
        <v>-0.110725879066067</v>
      </c>
      <c r="HK374" s="5">
        <v>7.7392403939332804E-2</v>
      </c>
      <c r="HL374" s="5">
        <v>0.46062722222723401</v>
      </c>
      <c r="HM374" s="5">
        <v>-0.22975979733384999</v>
      </c>
      <c r="HN374" s="5">
        <v>6.2789010259213796E-2</v>
      </c>
      <c r="HO374" s="5">
        <v>4.4423832885858501E-2</v>
      </c>
      <c r="HP374" s="5">
        <v>0.345661176825455</v>
      </c>
      <c r="HQ374" s="5">
        <v>-6.92073748559974E-2</v>
      </c>
      <c r="HR374" s="5">
        <v>0.54784470633631199</v>
      </c>
      <c r="HS374" s="5">
        <v>-0.34048838604467901</v>
      </c>
      <c r="HT374" s="5">
        <v>8.6296943489159506E-2</v>
      </c>
      <c r="HU374" s="5">
        <v>5.04961415441504E-2</v>
      </c>
      <c r="HV374" s="5">
        <v>0.58897172559827604</v>
      </c>
      <c r="HW374" s="5">
        <v>-0.34484474548467298</v>
      </c>
      <c r="HX374" s="5">
        <v>0.68330210773653499</v>
      </c>
      <c r="HY374" s="5">
        <v>-0.47470119761731799</v>
      </c>
      <c r="HZ374" s="5">
        <v>6.8076604164548698E-3</v>
      </c>
      <c r="IA374" s="5">
        <v>3.7354582949188801E-2</v>
      </c>
      <c r="IB374" s="5">
        <v>-0.380399159341827</v>
      </c>
      <c r="IC374" s="5">
        <v>0.35624502047726297</v>
      </c>
      <c r="ID374" s="5">
        <v>0.51091571211194697</v>
      </c>
      <c r="IE374" s="5">
        <v>-0.247960415337312</v>
      </c>
      <c r="IF374" s="5">
        <v>0.60646153937838299</v>
      </c>
      <c r="IG374" s="5">
        <v>-0.335665840224314</v>
      </c>
      <c r="IH374" s="5">
        <v>0.49913723514339903</v>
      </c>
      <c r="II374" s="5">
        <v>-0.33072181867825801</v>
      </c>
      <c r="IJ374" s="5">
        <v>0.43610108499900402</v>
      </c>
      <c r="IK374" s="5">
        <v>-0.335310890121233</v>
      </c>
      <c r="IL374" s="5">
        <v>0.53540259827944103</v>
      </c>
      <c r="IM374" s="5">
        <v>-0.29126661839024698</v>
      </c>
      <c r="IN374" s="5">
        <v>0.64769961887185301</v>
      </c>
      <c r="IO374" s="5">
        <v>-0.41390383757195998</v>
      </c>
      <c r="IP374" s="5">
        <v>0.61665403504948402</v>
      </c>
      <c r="IQ374" s="5">
        <v>-0.32976859695161698</v>
      </c>
      <c r="IR374" s="5">
        <v>8.0451081456476697E-2</v>
      </c>
      <c r="IS374" s="5">
        <v>0.180005181272829</v>
      </c>
      <c r="IT374" s="5">
        <v>0.54415244550093</v>
      </c>
      <c r="IU374" s="5">
        <v>-0.29938737838339902</v>
      </c>
      <c r="IV374" s="5">
        <v>0.62912989888108395</v>
      </c>
      <c r="IW374" s="5">
        <v>-0.44425619261747601</v>
      </c>
      <c r="IX374" s="5">
        <v>0.64839453641170597</v>
      </c>
      <c r="IY374" s="5">
        <v>-0.48253261147480198</v>
      </c>
      <c r="IZ374" s="5">
        <v>6.7801195916631501E-2</v>
      </c>
      <c r="JA374" s="5">
        <v>-3.4380326185113601E-2</v>
      </c>
      <c r="JB374" s="5">
        <v>-0.162292907628179</v>
      </c>
      <c r="JC374" s="5">
        <v>6.3971520920914807E-2</v>
      </c>
      <c r="JD374" s="5">
        <v>0.19394484510409299</v>
      </c>
      <c r="JE374" s="5">
        <v>0.17007880935841399</v>
      </c>
      <c r="JF374" s="5">
        <v>0.527278266156334</v>
      </c>
      <c r="JG374" s="5">
        <v>-0.44962089395761001</v>
      </c>
      <c r="JH374" s="5">
        <v>0.147826168955728</v>
      </c>
      <c r="JI374" s="5">
        <v>-8.5447402407484802E-2</v>
      </c>
      <c r="JJ374" s="5">
        <v>0.59489374019201102</v>
      </c>
      <c r="JK374" s="5">
        <v>-0.25977871660575502</v>
      </c>
      <c r="JL374" s="5">
        <v>0.41031344113684198</v>
      </c>
      <c r="JM374" s="5">
        <v>-0.112072749280336</v>
      </c>
      <c r="JN374" s="5">
        <v>0.82418736247186497</v>
      </c>
      <c r="JO374" s="5">
        <v>-0.65997731956516403</v>
      </c>
      <c r="JP374" s="5">
        <v>0.72049034290053704</v>
      </c>
      <c r="JQ374" s="5">
        <v>-0.48659158843995598</v>
      </c>
      <c r="JR374" s="5">
        <v>0.357892287775608</v>
      </c>
      <c r="JS374" s="5">
        <v>-3.5769304213979003E-2</v>
      </c>
      <c r="JT374" s="5">
        <v>9.6018824603358296E-2</v>
      </c>
      <c r="JU374" s="5">
        <v>0.14940505446857</v>
      </c>
      <c r="JV374" s="5">
        <v>0.58070299300624595</v>
      </c>
      <c r="JW374" s="5">
        <v>-0.37474631533626901</v>
      </c>
      <c r="JX374" s="5">
        <v>-3.4913862939360697E-2</v>
      </c>
      <c r="JY374" s="5">
        <v>5.8407292252161201E-2</v>
      </c>
      <c r="JZ374" s="5">
        <v>0.53257339623292799</v>
      </c>
      <c r="KA374" s="5">
        <v>-0.32867030766409999</v>
      </c>
      <c r="KB374" s="5">
        <v>-3.8243464983873598E-2</v>
      </c>
      <c r="KC374" s="5">
        <v>2.81588252522313E-2</v>
      </c>
      <c r="KD374" s="5">
        <v>0.27392920123353398</v>
      </c>
      <c r="KE374" s="5">
        <v>-6.6537554611484598E-2</v>
      </c>
      <c r="KF374" s="5">
        <v>0.54873952834321604</v>
      </c>
      <c r="KG374" s="5">
        <v>-0.35651928914441899</v>
      </c>
      <c r="KH374" s="5">
        <v>0.37098214704564902</v>
      </c>
      <c r="KI374" s="5">
        <v>-3.5397021438657798E-2</v>
      </c>
      <c r="KJ374" s="5">
        <v>0.51390401640192895</v>
      </c>
      <c r="KK374" s="5">
        <v>-0.21267247200886599</v>
      </c>
      <c r="KL374" s="5">
        <v>0.34123619857307902</v>
      </c>
      <c r="KM374" s="5">
        <v>-0.196001476194226</v>
      </c>
      <c r="KN374" s="5">
        <v>2.58429233743242E-2</v>
      </c>
      <c r="KO374" s="5">
        <v>5.3925470292800301E-2</v>
      </c>
      <c r="KP374" s="5">
        <v>-0.36758948311037898</v>
      </c>
      <c r="KQ374" s="5">
        <v>0.26259608374731003</v>
      </c>
      <c r="KR374" s="5">
        <v>0.70517080906431695</v>
      </c>
      <c r="KS374" s="5">
        <v>-0.462054375725442</v>
      </c>
      <c r="KT374" s="5">
        <v>0.62529811252197998</v>
      </c>
      <c r="KU374" s="5">
        <v>-0.35418520062786502</v>
      </c>
      <c r="KV374" s="5">
        <v>0.58119906852594905</v>
      </c>
      <c r="KW374" s="5">
        <v>-0.32810212478057699</v>
      </c>
      <c r="KX374" s="5">
        <v>0.632166285978078</v>
      </c>
      <c r="KY374" s="5">
        <v>-0.34265731482013301</v>
      </c>
      <c r="KZ374" s="5">
        <v>0.47542760886056501</v>
      </c>
      <c r="LA374" s="5">
        <v>-0.32748377968261799</v>
      </c>
      <c r="LB374" s="5">
        <v>0.70424279290184</v>
      </c>
      <c r="LC374" s="5">
        <v>-0.48607289910943202</v>
      </c>
      <c r="LD374" s="5">
        <v>0.60835185690337801</v>
      </c>
      <c r="LE374" s="5">
        <v>-0.40919703495721699</v>
      </c>
      <c r="LF374" s="5">
        <v>0.112981808592655</v>
      </c>
      <c r="LG374" s="5">
        <v>5.51640530386188E-2</v>
      </c>
      <c r="LH374" s="5">
        <v>0.57766742666559501</v>
      </c>
      <c r="LI374" s="5">
        <v>-0.32612062333747499</v>
      </c>
      <c r="LJ374" s="5">
        <v>0.103528246203138</v>
      </c>
      <c r="LK374" s="5">
        <v>4.6668722171155502E-2</v>
      </c>
      <c r="LL374" s="5">
        <v>0.62233491614126002</v>
      </c>
      <c r="LM374" s="5">
        <v>-0.44783377708144401</v>
      </c>
      <c r="LN374" s="5">
        <v>0.72796383961890399</v>
      </c>
      <c r="LO374" s="5">
        <v>-0.58166984624930995</v>
      </c>
      <c r="LP374" s="5">
        <v>0.55642090145313905</v>
      </c>
      <c r="LQ374" s="5">
        <v>-0.513085216949272</v>
      </c>
      <c r="LR374" s="5">
        <v>-4.0432598284961402E-2</v>
      </c>
      <c r="LS374" s="5">
        <v>5.4939673575734198E-2</v>
      </c>
      <c r="LT374" s="5">
        <v>4.0077016688424102E-2</v>
      </c>
      <c r="LU374" s="5">
        <v>1.2690010159128901E-2</v>
      </c>
      <c r="LV374" s="5">
        <v>-0.15549932862403601</v>
      </c>
      <c r="LW374" s="5">
        <v>8.4969323952658798E-2</v>
      </c>
      <c r="LX374" s="5">
        <v>0.322137782233198</v>
      </c>
      <c r="LY374" s="5">
        <v>2.45293060160767E-2</v>
      </c>
      <c r="LZ374" s="5">
        <v>0.58052599919377201</v>
      </c>
      <c r="MA374" s="5">
        <v>-0.37331212952467302</v>
      </c>
      <c r="MB374" s="5">
        <v>0.75828665639719195</v>
      </c>
      <c r="MC374" s="5">
        <v>-0.56227804353459299</v>
      </c>
      <c r="MD374" s="5">
        <v>0.67105142523481598</v>
      </c>
      <c r="ME374" s="5">
        <v>-0.55798828894233998</v>
      </c>
      <c r="MF374" s="5">
        <v>-0.34884879046392803</v>
      </c>
      <c r="MG374" s="5">
        <v>0.34413312963521198</v>
      </c>
      <c r="MH374" s="5">
        <v>0.33554645656124099</v>
      </c>
      <c r="MI374" s="5">
        <v>2.1810196010622401E-3</v>
      </c>
      <c r="MJ374" s="5">
        <v>1.40242377821405E-2</v>
      </c>
      <c r="MK374" s="5">
        <v>0.15961231516535199</v>
      </c>
      <c r="ML374" s="5">
        <v>0.42587493328916398</v>
      </c>
      <c r="MM374" s="5">
        <v>-0.249475712655783</v>
      </c>
      <c r="MN374" s="5">
        <v>0.58549282894733401</v>
      </c>
      <c r="MO374" s="5">
        <v>-0.42032116057105801</v>
      </c>
      <c r="MP374" s="5">
        <v>0.46057054253132901</v>
      </c>
      <c r="MQ374" s="5">
        <v>-0.22523502677212001</v>
      </c>
      <c r="MR374" s="5">
        <v>0.12634094181104399</v>
      </c>
      <c r="MS374" s="5">
        <v>9.3064214267161202E-2</v>
      </c>
      <c r="MT374" s="5">
        <v>0.30806356149278602</v>
      </c>
      <c r="MU374" s="5">
        <v>-0.198510897204253</v>
      </c>
      <c r="MV374" s="5">
        <v>0.41469775730689801</v>
      </c>
      <c r="MW374" s="5">
        <v>-0.19323781223793701</v>
      </c>
      <c r="MX374" s="5">
        <v>0.48945096292518497</v>
      </c>
      <c r="MY374" s="5">
        <v>-0.22313775244765499</v>
      </c>
      <c r="MZ374" s="5">
        <v>0.64163471992691901</v>
      </c>
      <c r="NA374" s="5">
        <v>-0.473334850190055</v>
      </c>
      <c r="NB374" s="5">
        <v>2.6428120465842499E-2</v>
      </c>
      <c r="NC374" s="5">
        <v>1.1331243782990901E-3</v>
      </c>
      <c r="ND374" s="5">
        <v>0.143921791504667</v>
      </c>
      <c r="NE374" s="5">
        <v>0.24417508459769799</v>
      </c>
      <c r="NF374" s="5">
        <v>-0.19534750788313299</v>
      </c>
      <c r="NG374" s="5">
        <v>0.38344703398625102</v>
      </c>
      <c r="NH374" s="5">
        <v>0.144560939629609</v>
      </c>
      <c r="NI374" s="5">
        <v>0.24892066689074599</v>
      </c>
      <c r="NJ374" s="5">
        <v>1</v>
      </c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</row>
    <row r="375" spans="1:389" x14ac:dyDescent="0.45">
      <c r="A375" s="4" t="str">
        <f ca="1">"VEN / beta2dist in "&amp;CELL("address",'damages-1990'!$K$188)</f>
        <v>VEN / beta2dist in '[BHM betas v3pd.xlsx]damages-1990'!$K$188</v>
      </c>
      <c r="B375" s="6">
        <v>-9.4180504585915106E-2</v>
      </c>
      <c r="C375" s="5">
        <v>0.14017402201989301</v>
      </c>
      <c r="D375" s="5">
        <v>-0.43350224408341398</v>
      </c>
      <c r="E375" s="5">
        <v>0.64574882576696302</v>
      </c>
      <c r="F375" s="5">
        <v>-8.2718621032391096E-2</v>
      </c>
      <c r="G375" s="5">
        <v>0.116924793915288</v>
      </c>
      <c r="H375" s="5">
        <v>-4.9954249805485101E-2</v>
      </c>
      <c r="I375" s="5">
        <v>1.2195881146891401E-2</v>
      </c>
      <c r="J375" s="5">
        <v>-0.25237072810626898</v>
      </c>
      <c r="K375" s="5">
        <v>0.38681410205608902</v>
      </c>
      <c r="L375" s="5">
        <v>-6.5847377345684896E-2</v>
      </c>
      <c r="M375" s="5">
        <v>6.8359966247273904E-2</v>
      </c>
      <c r="N375" s="5">
        <v>-7.9855047376645505E-2</v>
      </c>
      <c r="O375" s="5">
        <v>7.66324664640958E-2</v>
      </c>
      <c r="P375" s="5">
        <v>-0.43144018096610798</v>
      </c>
      <c r="Q375" s="5">
        <v>0.527038184997214</v>
      </c>
      <c r="R375" s="5">
        <v>-0.37980791023688099</v>
      </c>
      <c r="S375" s="5">
        <v>0.62261608360008203</v>
      </c>
      <c r="T375" s="5">
        <v>-0.17748607638236999</v>
      </c>
      <c r="U375" s="5">
        <v>0.19459885385029099</v>
      </c>
      <c r="V375" s="5">
        <v>2.7001517422608499E-2</v>
      </c>
      <c r="W375" s="5">
        <v>-9.2331365616313499E-2</v>
      </c>
      <c r="X375" s="5">
        <v>-0.47889064854128699</v>
      </c>
      <c r="Y375" s="5">
        <v>0.64967723279928902</v>
      </c>
      <c r="Z375" s="5">
        <v>-0.13095948866145499</v>
      </c>
      <c r="AA375" s="5">
        <v>0.167043589704301</v>
      </c>
      <c r="AB375" s="5">
        <v>-0.50729482142286897</v>
      </c>
      <c r="AC375" s="5">
        <v>0.70924058341339702</v>
      </c>
      <c r="AD375" s="5">
        <v>-0.43598164551493501</v>
      </c>
      <c r="AE375" s="5">
        <v>0.60072313178166303</v>
      </c>
      <c r="AF375" s="5">
        <v>-3.3422861170074897E-2</v>
      </c>
      <c r="AG375" s="5">
        <v>0.16107428034812199</v>
      </c>
      <c r="AH375" s="5">
        <v>-9.4141635654900593E-2</v>
      </c>
      <c r="AI375" s="5">
        <v>0.12781412396181799</v>
      </c>
      <c r="AJ375" s="5">
        <v>-0.25966543257021801</v>
      </c>
      <c r="AK375" s="5">
        <v>0.35019736506981403</v>
      </c>
      <c r="AL375" s="5">
        <v>-2.95274361517858E-2</v>
      </c>
      <c r="AM375" s="5">
        <v>8.0275582246104898E-2</v>
      </c>
      <c r="AN375" s="5">
        <v>-0.1512965945735</v>
      </c>
      <c r="AO375" s="5">
        <v>0.18077741966991401</v>
      </c>
      <c r="AP375" s="5">
        <v>-0.126269661264585</v>
      </c>
      <c r="AQ375" s="5">
        <v>0.15227934571277499</v>
      </c>
      <c r="AR375" s="5">
        <v>-0.25795856933999201</v>
      </c>
      <c r="AS375" s="5">
        <v>0.41946711262768499</v>
      </c>
      <c r="AT375" s="5">
        <v>0.12858022355460699</v>
      </c>
      <c r="AU375" s="5">
        <v>-0.150431858151445</v>
      </c>
      <c r="AV375" s="5">
        <v>-0.32452449667317401</v>
      </c>
      <c r="AW375" s="5">
        <v>0.62058477182222405</v>
      </c>
      <c r="AX375" s="5">
        <v>-0.43179455355511498</v>
      </c>
      <c r="AY375" s="5">
        <v>0.75988324342903302</v>
      </c>
      <c r="AZ375" s="5">
        <v>-0.39896092229055602</v>
      </c>
      <c r="BA375" s="5">
        <v>0.50026991608561</v>
      </c>
      <c r="BB375" s="5">
        <v>-0.30438713906012799</v>
      </c>
      <c r="BC375" s="5">
        <v>0.46530142760964699</v>
      </c>
      <c r="BD375" s="5">
        <v>-3.7001925433363898E-2</v>
      </c>
      <c r="BE375" s="5">
        <v>4.983162392189E-2</v>
      </c>
      <c r="BF375" s="5">
        <v>-0.28726590928448698</v>
      </c>
      <c r="BG375" s="5">
        <v>0.43184050682672598</v>
      </c>
      <c r="BH375" s="5">
        <v>-0.46518359285306299</v>
      </c>
      <c r="BI375" s="5">
        <v>0.713937152520146</v>
      </c>
      <c r="BJ375" s="5">
        <v>0.12741723109316599</v>
      </c>
      <c r="BK375" s="5">
        <v>-0.33381987507194699</v>
      </c>
      <c r="BL375" s="5">
        <v>-0.24460812965759399</v>
      </c>
      <c r="BM375" s="5">
        <v>0.26138632939760997</v>
      </c>
      <c r="BN375" s="5">
        <v>9.4402211345522402E-2</v>
      </c>
      <c r="BO375" s="5">
        <v>-0.186189302096988</v>
      </c>
      <c r="BP375" s="5">
        <v>0.10781851378538899</v>
      </c>
      <c r="BQ375" s="5">
        <v>-0.28591072098297099</v>
      </c>
      <c r="BR375" s="5">
        <v>-0.576343642246398</v>
      </c>
      <c r="BS375" s="5">
        <v>0.74934734912415801</v>
      </c>
      <c r="BT375" s="5">
        <v>-0.44233320598374398</v>
      </c>
      <c r="BU375" s="5">
        <v>0.736765474800536</v>
      </c>
      <c r="BV375" s="5">
        <v>-0.50842360155838695</v>
      </c>
      <c r="BW375" s="5">
        <v>0.74727573968278604</v>
      </c>
      <c r="BX375" s="5">
        <v>-0.52424641668762095</v>
      </c>
      <c r="BY375" s="5">
        <v>0.78367284658596803</v>
      </c>
      <c r="BZ375" s="5">
        <v>-0.56810953599673997</v>
      </c>
      <c r="CA375" s="5">
        <v>0.81754105336669802</v>
      </c>
      <c r="CB375" s="5">
        <v>-0.386281953059467</v>
      </c>
      <c r="CC375" s="5">
        <v>0.59498426189475595</v>
      </c>
      <c r="CD375" s="5">
        <v>-0.129536852875238</v>
      </c>
      <c r="CE375" s="5">
        <v>0.20128658202664201</v>
      </c>
      <c r="CF375" s="5">
        <v>-0.51406214107283499</v>
      </c>
      <c r="CG375" s="5">
        <v>0.64472532167936403</v>
      </c>
      <c r="CH375" s="5">
        <v>-2.7516233245145801E-2</v>
      </c>
      <c r="CI375" s="5">
        <v>8.5023200354007997E-2</v>
      </c>
      <c r="CJ375" s="5">
        <v>5.4785712404936203E-2</v>
      </c>
      <c r="CK375" s="5">
        <v>-8.2019674975846394E-3</v>
      </c>
      <c r="CL375" s="5">
        <v>-0.124758936949473</v>
      </c>
      <c r="CM375" s="5">
        <v>0.13936588565963801</v>
      </c>
      <c r="CN375" s="5">
        <v>-0.126797556624173</v>
      </c>
      <c r="CO375" s="5">
        <v>0.14597402119813399</v>
      </c>
      <c r="CP375" s="5">
        <v>-0.42316516923166603</v>
      </c>
      <c r="CQ375" s="5">
        <v>0.51959446694224198</v>
      </c>
      <c r="CR375" s="5">
        <v>-0.45635705591214998</v>
      </c>
      <c r="CS375" s="5">
        <v>0.55666175838533305</v>
      </c>
      <c r="CT375" s="5">
        <v>-0.120124012200775</v>
      </c>
      <c r="CU375" s="5">
        <v>0.14486401871330701</v>
      </c>
      <c r="CV375" s="5">
        <v>-0.534016011059814</v>
      </c>
      <c r="CW375" s="5">
        <v>0.640777280110022</v>
      </c>
      <c r="CX375" s="5">
        <v>-0.26814546385753402</v>
      </c>
      <c r="CY375" s="5">
        <v>0.41952570619636897</v>
      </c>
      <c r="CZ375" s="5">
        <v>-0.57863941178549705</v>
      </c>
      <c r="DA375" s="5">
        <v>0.79348443040664296</v>
      </c>
      <c r="DB375" s="5">
        <v>-0.115221047940507</v>
      </c>
      <c r="DC375" s="5">
        <v>0.14684588717848401</v>
      </c>
      <c r="DD375" s="5">
        <v>-0.362014374860819</v>
      </c>
      <c r="DE375" s="5">
        <v>0.49761210853840498</v>
      </c>
      <c r="DF375" s="5">
        <v>-0.26347226785782701</v>
      </c>
      <c r="DG375" s="5">
        <v>0.39014251832270003</v>
      </c>
      <c r="DH375" s="5">
        <v>-0.160341421280456</v>
      </c>
      <c r="DI375" s="5">
        <v>0.28275925329666102</v>
      </c>
      <c r="DJ375" s="5">
        <v>-6.9224358320835594E-2</v>
      </c>
      <c r="DK375" s="5">
        <v>9.7537395880755898E-2</v>
      </c>
      <c r="DL375" s="5">
        <v>-0.35164681709485202</v>
      </c>
      <c r="DM375" s="5">
        <v>0.54412077930403202</v>
      </c>
      <c r="DN375" s="5">
        <v>-2.7729409484336699E-2</v>
      </c>
      <c r="DO375" s="5">
        <v>3.64438832365237E-2</v>
      </c>
      <c r="DP375" s="5">
        <v>0.150863795021214</v>
      </c>
      <c r="DQ375" s="5">
        <v>-0.17916876190172501</v>
      </c>
      <c r="DR375" s="5">
        <v>-0.12333442454382</v>
      </c>
      <c r="DS375" s="5">
        <v>0.18029147345031199</v>
      </c>
      <c r="DT375" s="5">
        <v>-0.28482597184332098</v>
      </c>
      <c r="DU375" s="5">
        <v>0.31619871041342901</v>
      </c>
      <c r="DV375" s="5">
        <v>-0.55171454051575497</v>
      </c>
      <c r="DW375" s="5">
        <v>0.76741594013640901</v>
      </c>
      <c r="DX375" s="5">
        <v>-7.2908532423740693E-2</v>
      </c>
      <c r="DY375" s="5">
        <v>8.9203637578026795E-2</v>
      </c>
      <c r="DZ375" s="5">
        <v>-0.104001816281608</v>
      </c>
      <c r="EA375" s="5">
        <v>0.14366933503816001</v>
      </c>
      <c r="EB375" s="5">
        <v>-0.57161890807756599</v>
      </c>
      <c r="EC375" s="5">
        <v>0.74938164377469196</v>
      </c>
      <c r="ED375" s="5">
        <v>-0.536081221674924</v>
      </c>
      <c r="EE375" s="5">
        <v>0.71163748016203898</v>
      </c>
      <c r="EF375" s="5">
        <v>-0.46473482255813497</v>
      </c>
      <c r="EG375" s="5">
        <v>0.55100359092798301</v>
      </c>
      <c r="EH375" s="5">
        <v>-0.390733674550518</v>
      </c>
      <c r="EI375" s="5">
        <v>0.55544752967941302</v>
      </c>
      <c r="EJ375" s="5">
        <v>-0.41018519058014402</v>
      </c>
      <c r="EK375" s="5">
        <v>0.58540864223211997</v>
      </c>
      <c r="EL375" s="5">
        <v>-0.52000384931987398</v>
      </c>
      <c r="EM375" s="5">
        <v>0.756264935817481</v>
      </c>
      <c r="EN375" s="5">
        <v>1.30073664771626E-2</v>
      </c>
      <c r="EO375" s="5">
        <v>9.3600028494796595E-5</v>
      </c>
      <c r="EP375" s="5">
        <v>-0.47628274479059202</v>
      </c>
      <c r="EQ375" s="5">
        <v>0.592151169786019</v>
      </c>
      <c r="ER375" s="5">
        <v>-0.297253330817288</v>
      </c>
      <c r="ES375" s="5">
        <v>0.48923398222268699</v>
      </c>
      <c r="ET375" s="5">
        <v>-0.29752069817466198</v>
      </c>
      <c r="EU375" s="5">
        <v>0.56544620053846095</v>
      </c>
      <c r="EV375" s="5">
        <v>-0.433422633500476</v>
      </c>
      <c r="EW375" s="5">
        <v>0.72205953732320305</v>
      </c>
      <c r="EX375" s="5">
        <v>1.761533205218E-3</v>
      </c>
      <c r="EY375" s="5">
        <v>0.19217063098498399</v>
      </c>
      <c r="EZ375" s="5">
        <v>-0.30713132596327603</v>
      </c>
      <c r="FA375" s="5">
        <v>0.51656926271637105</v>
      </c>
      <c r="FB375" s="5">
        <v>-0.117018779509087</v>
      </c>
      <c r="FC375" s="5">
        <v>0.15554359805425499</v>
      </c>
      <c r="FD375" s="5">
        <v>-0.43078140907368301</v>
      </c>
      <c r="FE375" s="5">
        <v>0.57186029092561397</v>
      </c>
      <c r="FF375" s="5">
        <v>-9.2216279016656702E-2</v>
      </c>
      <c r="FG375" s="5">
        <v>0.117120327154509</v>
      </c>
      <c r="FH375" s="5">
        <v>-0.13351804380150001</v>
      </c>
      <c r="FI375" s="5">
        <v>0.28228141548607899</v>
      </c>
      <c r="FJ375" s="5">
        <v>-0.28249135414812698</v>
      </c>
      <c r="FK375" s="5">
        <v>0.40218156236101399</v>
      </c>
      <c r="FL375" s="5">
        <v>8.2777378757730294E-2</v>
      </c>
      <c r="FM375" s="5">
        <v>-0.10578475236693601</v>
      </c>
      <c r="FN375" s="5">
        <v>-0.119708208506006</v>
      </c>
      <c r="FO375" s="5">
        <v>0.16160013640597901</v>
      </c>
      <c r="FP375" s="5">
        <v>-0.119781370098429</v>
      </c>
      <c r="FQ375" s="5">
        <v>0.13570145757680599</v>
      </c>
      <c r="FR375" s="5">
        <v>0.24854039069143299</v>
      </c>
      <c r="FS375" s="5">
        <v>-0.21834641879203801</v>
      </c>
      <c r="FT375" s="5">
        <v>-0.11254454045050299</v>
      </c>
      <c r="FU375" s="5">
        <v>0.15291656950132401</v>
      </c>
      <c r="FV375" s="5">
        <v>-8.9248505618400906E-2</v>
      </c>
      <c r="FW375" s="5">
        <v>0.144380553088609</v>
      </c>
      <c r="FX375" s="5">
        <v>-0.38107800945197501</v>
      </c>
      <c r="FY375" s="5">
        <v>0.51334407862128795</v>
      </c>
      <c r="FZ375" s="5">
        <v>-0.14873148389521201</v>
      </c>
      <c r="GA375" s="5">
        <v>0.19035910711408499</v>
      </c>
      <c r="GB375" s="5">
        <v>-0.106882110712824</v>
      </c>
      <c r="GC375" s="5">
        <v>0.15574994456042901</v>
      </c>
      <c r="GD375" s="5">
        <v>3.8340194727655597E-2</v>
      </c>
      <c r="GE375" s="5">
        <v>-5.4913776556903202E-2</v>
      </c>
      <c r="GF375" s="5">
        <v>-0.29687878466030199</v>
      </c>
      <c r="GG375" s="5">
        <v>0.52526710862798998</v>
      </c>
      <c r="GH375" s="5">
        <v>0.38023835409516199</v>
      </c>
      <c r="GI375" s="5">
        <v>-0.53832688725224997</v>
      </c>
      <c r="GJ375" s="5">
        <v>-0.25441023517924899</v>
      </c>
      <c r="GK375" s="5">
        <v>0.50417537628390496</v>
      </c>
      <c r="GL375" s="5">
        <v>-0.45474233564733801</v>
      </c>
      <c r="GM375" s="5">
        <v>0.51882465255406096</v>
      </c>
      <c r="GN375" s="5">
        <v>-9.5844971124495498E-2</v>
      </c>
      <c r="GO375" s="5">
        <v>0.16251656734382899</v>
      </c>
      <c r="GP375" s="5">
        <v>-0.21484275536223299</v>
      </c>
      <c r="GQ375" s="5">
        <v>0.28539897060069502</v>
      </c>
      <c r="GR375" s="5">
        <v>-0.30186715587136698</v>
      </c>
      <c r="GS375" s="5">
        <v>0.54157171890398803</v>
      </c>
      <c r="GT375" s="5">
        <v>-1.96568121581377E-2</v>
      </c>
      <c r="GU375" s="5">
        <v>-1.1513483262743001E-2</v>
      </c>
      <c r="GV375" s="5">
        <v>-0.54787706510024903</v>
      </c>
      <c r="GW375" s="5">
        <v>0.79519645336469802</v>
      </c>
      <c r="GX375" s="5">
        <v>-0.13406985725078099</v>
      </c>
      <c r="GY375" s="5">
        <v>0.211205987384537</v>
      </c>
      <c r="GZ375" s="5">
        <v>-0.230771109919894</v>
      </c>
      <c r="HA375" s="5">
        <v>0.24218795281043701</v>
      </c>
      <c r="HB375" s="5">
        <v>-0.368230527969725</v>
      </c>
      <c r="HC375" s="5">
        <v>0.61680433690456304</v>
      </c>
      <c r="HD375" s="5">
        <v>-5.67265707194929E-2</v>
      </c>
      <c r="HE375" s="5">
        <v>8.9265449792344201E-2</v>
      </c>
      <c r="HF375" s="5">
        <v>-8.6506555946814598E-2</v>
      </c>
      <c r="HG375" s="5">
        <v>0.107131272970635</v>
      </c>
      <c r="HH375" s="5">
        <v>-0.137853399101042</v>
      </c>
      <c r="HI375" s="5">
        <v>0.16447366843240099</v>
      </c>
      <c r="HJ375" s="5">
        <v>-8.4810768875209094E-2</v>
      </c>
      <c r="HK375" s="5">
        <v>0.10918883965812901</v>
      </c>
      <c r="HL375" s="5">
        <v>-0.26532859062743702</v>
      </c>
      <c r="HM375" s="5">
        <v>0.439784526957477</v>
      </c>
      <c r="HN375" s="5">
        <v>-9.5750832674034905E-2</v>
      </c>
      <c r="HO375" s="5">
        <v>0.13067403436612199</v>
      </c>
      <c r="HP375" s="5">
        <v>3.3163815860622899E-2</v>
      </c>
      <c r="HQ375" s="5">
        <v>0.142453597478883</v>
      </c>
      <c r="HR375" s="5">
        <v>-0.18278021979667999</v>
      </c>
      <c r="HS375" s="5">
        <v>0.40284635325627</v>
      </c>
      <c r="HT375" s="5">
        <v>-0.122675890975188</v>
      </c>
      <c r="HU375" s="5">
        <v>0.16458272454307801</v>
      </c>
      <c r="HV375" s="5">
        <v>-0.34597468198895398</v>
      </c>
      <c r="HW375" s="5">
        <v>0.51839848850058401</v>
      </c>
      <c r="HX375" s="5">
        <v>-0.35990676616200601</v>
      </c>
      <c r="HY375" s="5">
        <v>0.59675125753814895</v>
      </c>
      <c r="HZ375" s="5">
        <v>-0.146830828201682</v>
      </c>
      <c r="IA375" s="5">
        <v>0.17336478834174299</v>
      </c>
      <c r="IB375" s="5">
        <v>0.24759309474785501</v>
      </c>
      <c r="IC375" s="5">
        <v>-0.33008428713635501</v>
      </c>
      <c r="ID375" s="5">
        <v>-0.16599407102451599</v>
      </c>
      <c r="IE375" s="5">
        <v>0.375356778413375</v>
      </c>
      <c r="IF375" s="5">
        <v>-0.33684841757282302</v>
      </c>
      <c r="IG375" s="5">
        <v>0.50143740188866504</v>
      </c>
      <c r="IH375" s="5">
        <v>-0.45786688180055302</v>
      </c>
      <c r="II375" s="5">
        <v>0.56502542519141297</v>
      </c>
      <c r="IJ375" s="5">
        <v>-0.27738641872893099</v>
      </c>
      <c r="IK375" s="5">
        <v>0.36142649622318301</v>
      </c>
      <c r="IL375" s="5">
        <v>-0.174362102141259</v>
      </c>
      <c r="IM375" s="5">
        <v>0.38280646237092403</v>
      </c>
      <c r="IN375" s="5">
        <v>-0.252067867873284</v>
      </c>
      <c r="IO375" s="5">
        <v>0.437416917559869</v>
      </c>
      <c r="IP375" s="5">
        <v>-0.37871271172023802</v>
      </c>
      <c r="IQ375" s="5">
        <v>0.53495752263954199</v>
      </c>
      <c r="IR375" s="5">
        <v>0.154735063449362</v>
      </c>
      <c r="IS375" s="5">
        <v>-0.15988146708600801</v>
      </c>
      <c r="IT375" s="5">
        <v>-0.27632222615032098</v>
      </c>
      <c r="IU375" s="5">
        <v>0.44129766071934901</v>
      </c>
      <c r="IV375" s="5">
        <v>-0.46785259016359398</v>
      </c>
      <c r="IW375" s="5">
        <v>0.67316355391133198</v>
      </c>
      <c r="IX375" s="5">
        <v>-0.44785062555739502</v>
      </c>
      <c r="IY375" s="5">
        <v>0.66869904814379999</v>
      </c>
      <c r="IZ375" s="5">
        <v>-0.14356044501350201</v>
      </c>
      <c r="JA375" s="5">
        <v>0.17640618581384099</v>
      </c>
      <c r="JB375" s="5">
        <v>-0.106137194595376</v>
      </c>
      <c r="JC375" s="5">
        <v>0.126443987065465</v>
      </c>
      <c r="JD375" s="5">
        <v>-6.27231580612614E-2</v>
      </c>
      <c r="JE375" s="5">
        <v>0.10622254719063499</v>
      </c>
      <c r="JF375" s="5">
        <v>-0.34904747404382602</v>
      </c>
      <c r="JG375" s="5">
        <v>0.496883231876658</v>
      </c>
      <c r="JH375" s="5">
        <v>-0.17024338729213201</v>
      </c>
      <c r="JI375" s="5">
        <v>0.207548018110841</v>
      </c>
      <c r="JJ375" s="5">
        <v>-0.32922860016889999</v>
      </c>
      <c r="JK375" s="5">
        <v>0.484399179327206</v>
      </c>
      <c r="JL375" s="5">
        <v>-0.19005059436115601</v>
      </c>
      <c r="JM375" s="5">
        <v>0.326129128105627</v>
      </c>
      <c r="JN375" s="5">
        <v>-0.66297469194439795</v>
      </c>
      <c r="JO375" s="5">
        <v>0.84261177790346797</v>
      </c>
      <c r="JP375" s="5">
        <v>-0.42313637076879701</v>
      </c>
      <c r="JQ375" s="5">
        <v>0.67766551187189406</v>
      </c>
      <c r="JR375" s="5">
        <v>4.58569466975332E-2</v>
      </c>
      <c r="JS375" s="5">
        <v>3.8784010049075002E-2</v>
      </c>
      <c r="JT375" s="5">
        <v>0.175363613845402</v>
      </c>
      <c r="JU375" s="5">
        <v>-0.166591291622431</v>
      </c>
      <c r="JV375" s="5">
        <v>-0.16593608618751199</v>
      </c>
      <c r="JW375" s="5">
        <v>0.372870503392144</v>
      </c>
      <c r="JX375" s="5">
        <v>-9.0397929793508705E-2</v>
      </c>
      <c r="JY375" s="5">
        <v>0.104272707910203</v>
      </c>
      <c r="JZ375" s="5">
        <v>-0.54019161386216896</v>
      </c>
      <c r="KA375" s="5">
        <v>0.59811611532144004</v>
      </c>
      <c r="KB375" s="5">
        <v>-0.18456249619336601</v>
      </c>
      <c r="KC375" s="5">
        <v>0.18888592766414999</v>
      </c>
      <c r="KD375" s="5">
        <v>-0.13286299597081599</v>
      </c>
      <c r="KE375" s="5">
        <v>0.23104033429039</v>
      </c>
      <c r="KF375" s="5">
        <v>-0.185825760853394</v>
      </c>
      <c r="KG375" s="5">
        <v>0.27990297614743498</v>
      </c>
      <c r="KH375" s="5">
        <v>-0.10317487466167601</v>
      </c>
      <c r="KI375" s="5">
        <v>0.13696199372020501</v>
      </c>
      <c r="KJ375" s="5">
        <v>-0.25951924208863297</v>
      </c>
      <c r="KK375" s="5">
        <v>0.36945379075131901</v>
      </c>
      <c r="KL375" s="5">
        <v>-9.5085627168365494E-2</v>
      </c>
      <c r="KM375" s="5">
        <v>0.17095432024791499</v>
      </c>
      <c r="KN375" s="5">
        <v>-0.102513296288006</v>
      </c>
      <c r="KO375" s="5">
        <v>0.13404175906045401</v>
      </c>
      <c r="KP375" s="5">
        <v>0.144828016043762</v>
      </c>
      <c r="KQ375" s="5">
        <v>-0.159819689925978</v>
      </c>
      <c r="KR375" s="5">
        <v>-0.52031631074352203</v>
      </c>
      <c r="KS375" s="5">
        <v>0.70142710880478398</v>
      </c>
      <c r="KT375" s="5">
        <v>-0.34258839415028602</v>
      </c>
      <c r="KU375" s="5">
        <v>0.52117580790544205</v>
      </c>
      <c r="KV375" s="5">
        <v>-0.34775490040052498</v>
      </c>
      <c r="KW375" s="5">
        <v>0.52972657380527299</v>
      </c>
      <c r="KX375" s="5">
        <v>-0.39430948083934197</v>
      </c>
      <c r="KY375" s="5">
        <v>0.54685219388735495</v>
      </c>
      <c r="KZ375" s="5">
        <v>-0.28493259258149001</v>
      </c>
      <c r="LA375" s="5">
        <v>0.39527486703391501</v>
      </c>
      <c r="LB375" s="5">
        <v>-0.42314727137299102</v>
      </c>
      <c r="LC375" s="5">
        <v>0.63485700600899297</v>
      </c>
      <c r="LD375" s="5">
        <v>-0.35402452726369898</v>
      </c>
      <c r="LE375" s="5">
        <v>0.54808756206013798</v>
      </c>
      <c r="LF375" s="5">
        <v>-0.12572308943572499</v>
      </c>
      <c r="LG375" s="5">
        <v>0.17620718879943101</v>
      </c>
      <c r="LH375" s="5">
        <v>-0.33757895333454302</v>
      </c>
      <c r="LI375" s="5">
        <v>0.537092187500671</v>
      </c>
      <c r="LJ375" s="5">
        <v>-0.12694605373057899</v>
      </c>
      <c r="LK375" s="5">
        <v>0.16910385989948501</v>
      </c>
      <c r="LL375" s="5">
        <v>-0.41952872311196698</v>
      </c>
      <c r="LM375" s="5">
        <v>0.65010359046523103</v>
      </c>
      <c r="LN375" s="5">
        <v>-0.525230158844046</v>
      </c>
      <c r="LO375" s="5">
        <v>0.70963949221689604</v>
      </c>
      <c r="LP375" s="5">
        <v>-0.29791295811185098</v>
      </c>
      <c r="LQ375" s="5">
        <v>0.63101980208082198</v>
      </c>
      <c r="LR375" s="5">
        <v>-8.4349772982977203E-2</v>
      </c>
      <c r="LS375" s="5">
        <v>9.7942262556951196E-2</v>
      </c>
      <c r="LT375" s="5">
        <v>-0.16394293020235501</v>
      </c>
      <c r="LU375" s="5">
        <v>0.19222944446708501</v>
      </c>
      <c r="LV375" s="5">
        <v>-9.5443580447910695E-2</v>
      </c>
      <c r="LW375" s="5">
        <v>0.101392561546977</v>
      </c>
      <c r="LX375" s="5">
        <v>-5.89817953078694E-2</v>
      </c>
      <c r="LY375" s="5">
        <v>5.3078792785730598E-2</v>
      </c>
      <c r="LZ375" s="5">
        <v>-0.289434435991624</v>
      </c>
      <c r="MA375" s="5">
        <v>0.51231162293482102</v>
      </c>
      <c r="MB375" s="5">
        <v>-0.56888784543164195</v>
      </c>
      <c r="MC375" s="5">
        <v>0.77646795443304095</v>
      </c>
      <c r="MD375" s="5">
        <v>-0.323726077614785</v>
      </c>
      <c r="ME375" s="5">
        <v>0.54518330393868997</v>
      </c>
      <c r="MF375" s="5">
        <v>0.29474401072532402</v>
      </c>
      <c r="MG375" s="5">
        <v>-0.43979955368725399</v>
      </c>
      <c r="MH375" s="5">
        <v>-9.0161405251051402E-2</v>
      </c>
      <c r="MI375" s="5">
        <v>0.10749623375242701</v>
      </c>
      <c r="MJ375" s="5">
        <v>0.31483939848707299</v>
      </c>
      <c r="MK375" s="5">
        <v>-0.337350760807548</v>
      </c>
      <c r="ML375" s="5">
        <v>-0.11883648167267299</v>
      </c>
      <c r="MM375" s="5">
        <v>0.12514856253786499</v>
      </c>
      <c r="MN375" s="5">
        <v>-0.57349310026232603</v>
      </c>
      <c r="MO375" s="5">
        <v>0.67632690217559299</v>
      </c>
      <c r="MP375" s="5">
        <v>-0.20694856199424699</v>
      </c>
      <c r="MQ375" s="5">
        <v>0.313286103590244</v>
      </c>
      <c r="MR375" s="5">
        <v>-2.5473614372730501E-2</v>
      </c>
      <c r="MS375" s="5">
        <v>2.2525082984428301E-2</v>
      </c>
      <c r="MT375" s="5">
        <v>-0.30037536677992899</v>
      </c>
      <c r="MU375" s="5">
        <v>0.32494555308394002</v>
      </c>
      <c r="MV375" s="5">
        <v>-0.105832790790852</v>
      </c>
      <c r="MW375" s="5">
        <v>0.28413410162101199</v>
      </c>
      <c r="MX375" s="5">
        <v>-0.18302894702331601</v>
      </c>
      <c r="MY375" s="5">
        <v>0.366947797951863</v>
      </c>
      <c r="MZ375" s="5">
        <v>-0.46602100679331598</v>
      </c>
      <c r="NA375" s="5">
        <v>0.67598308286850795</v>
      </c>
      <c r="NB375" s="5">
        <v>-0.150546364389962</v>
      </c>
      <c r="NC375" s="5">
        <v>0.191383046991593</v>
      </c>
      <c r="ND375" s="5">
        <v>0.12594258719638299</v>
      </c>
      <c r="NE375" s="5">
        <v>-0.22610646669517701</v>
      </c>
      <c r="NF375" s="5">
        <v>3.4569310043333197E-2</v>
      </c>
      <c r="NG375" s="5">
        <v>-0.154359313978437</v>
      </c>
      <c r="NH375" s="5">
        <v>2.7531162521905801E-2</v>
      </c>
      <c r="NI375" s="5">
        <v>-0.11304708671116</v>
      </c>
      <c r="NJ375" s="5">
        <v>-0.79521475852434198</v>
      </c>
      <c r="NK375" s="5">
        <v>1</v>
      </c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</row>
    <row r="376" spans="1:389" x14ac:dyDescent="0.45">
      <c r="A376" s="4" t="str">
        <f ca="1">"VNM / beta1dist in "&amp;CELL("address",'damages-1990'!$J$189)</f>
        <v>VNM / beta1dist in '[BHM betas v3pd.xlsx]damages-1990'!$J$189</v>
      </c>
      <c r="B376" s="6">
        <v>0.16630018519724901</v>
      </c>
      <c r="C376" s="5">
        <v>0.30336626597497202</v>
      </c>
      <c r="D376" s="5">
        <v>0.571607222531889</v>
      </c>
      <c r="E376" s="5">
        <v>-0.13416092308112601</v>
      </c>
      <c r="F376" s="5">
        <v>0.103169615228993</v>
      </c>
      <c r="G376" s="5">
        <v>0.21947312459809901</v>
      </c>
      <c r="H376" s="5">
        <v>-0.25462766955974803</v>
      </c>
      <c r="I376" s="5">
        <v>0.20022810513560099</v>
      </c>
      <c r="J376" s="5">
        <v>0.47704559627398602</v>
      </c>
      <c r="K376" s="5">
        <v>-1.8706630244565599E-2</v>
      </c>
      <c r="L376" s="5">
        <v>0.44286003422866299</v>
      </c>
      <c r="M376" s="5">
        <v>-8.4215631936292404E-2</v>
      </c>
      <c r="N376" s="5">
        <v>9.6929591645667099E-2</v>
      </c>
      <c r="O376" s="5">
        <v>-0.124922787474367</v>
      </c>
      <c r="P376" s="5">
        <v>0.354474518683076</v>
      </c>
      <c r="Q376" s="5">
        <v>-0.104239062494371</v>
      </c>
      <c r="R376" s="5">
        <v>0.50541840940190697</v>
      </c>
      <c r="S376" s="5">
        <v>-6.1014247448138E-2</v>
      </c>
      <c r="T376" s="5">
        <v>-5.9317167555321397E-2</v>
      </c>
      <c r="U376" s="5">
        <v>5.7851088030526597E-2</v>
      </c>
      <c r="V376" s="5">
        <v>0.192316182389145</v>
      </c>
      <c r="W376" s="5">
        <v>0.24684401524484001</v>
      </c>
      <c r="X376" s="5">
        <v>0.50369021051087803</v>
      </c>
      <c r="Y376" s="5">
        <v>-7.2836175919511303E-2</v>
      </c>
      <c r="Z376" s="5">
        <v>-1.93245587969284E-2</v>
      </c>
      <c r="AA376" s="5">
        <v>0.124092546885015</v>
      </c>
      <c r="AB376" s="5">
        <v>0.57652456070011004</v>
      </c>
      <c r="AC376" s="5">
        <v>-0.29465546761728301</v>
      </c>
      <c r="AD376" s="5">
        <v>0.46409885475254098</v>
      </c>
      <c r="AE376" s="5">
        <v>-0.13898394545064599</v>
      </c>
      <c r="AF376" s="5">
        <v>0.57756179241472805</v>
      </c>
      <c r="AG376" s="5">
        <v>-0.225305219977531</v>
      </c>
      <c r="AH376" s="5">
        <v>7.7603952261868295E-2</v>
      </c>
      <c r="AI376" s="5">
        <v>0.175039671243756</v>
      </c>
      <c r="AJ376" s="5">
        <v>0.39198066150034599</v>
      </c>
      <c r="AK376" s="5">
        <v>5.2438575740250501E-2</v>
      </c>
      <c r="AL376" s="5">
        <v>0.49457837660147402</v>
      </c>
      <c r="AM376" s="5">
        <v>-0.26583686617043101</v>
      </c>
      <c r="AN376" s="5">
        <v>1.2097315775508599E-2</v>
      </c>
      <c r="AO376" s="5">
        <v>0.12481548487934301</v>
      </c>
      <c r="AP376" s="5">
        <v>-0.17261173607449501</v>
      </c>
      <c r="AQ376" s="5">
        <v>0.20318321953677701</v>
      </c>
      <c r="AR376" s="5">
        <v>0.53709412817401503</v>
      </c>
      <c r="AS376" s="5">
        <v>-0.219194057816508</v>
      </c>
      <c r="AT376" s="5">
        <v>0.37709906918750702</v>
      </c>
      <c r="AU376" s="5">
        <v>-0.15145064201425401</v>
      </c>
      <c r="AV376" s="5">
        <v>0.70748683966040204</v>
      </c>
      <c r="AW376" s="5">
        <v>-0.32904661880438302</v>
      </c>
      <c r="AX376" s="5">
        <v>0.69540686508013905</v>
      </c>
      <c r="AY376" s="5">
        <v>-0.31219653823368299</v>
      </c>
      <c r="AZ376" s="5">
        <v>0.471805718819784</v>
      </c>
      <c r="BA376" s="5">
        <v>-0.222176123486345</v>
      </c>
      <c r="BB376" s="5">
        <v>0.49814752673873902</v>
      </c>
      <c r="BC376" s="5">
        <v>-4.7074197402913999E-2</v>
      </c>
      <c r="BD376" s="5">
        <v>3.25209871959449E-2</v>
      </c>
      <c r="BE376" s="5">
        <v>0.408551144516201</v>
      </c>
      <c r="BF376" s="5">
        <v>0.49783577822078301</v>
      </c>
      <c r="BG376" s="5">
        <v>-0.12340653752029</v>
      </c>
      <c r="BH376" s="5">
        <v>0.63831855805372095</v>
      </c>
      <c r="BI376" s="5">
        <v>-0.25891736762524997</v>
      </c>
      <c r="BJ376" s="5">
        <v>-0.39144686643148602</v>
      </c>
      <c r="BK376" s="5">
        <v>0.25141043708612298</v>
      </c>
      <c r="BL376" s="5">
        <v>-7.9701072073425194E-2</v>
      </c>
      <c r="BM376" s="5">
        <v>3.6641651077506603E-2</v>
      </c>
      <c r="BN376" s="5">
        <v>-0.19324129441135901</v>
      </c>
      <c r="BO376" s="5">
        <v>0.326588908248308</v>
      </c>
      <c r="BP376" s="5">
        <v>-0.26311396635238998</v>
      </c>
      <c r="BQ376" s="5">
        <v>0.441978898562504</v>
      </c>
      <c r="BR376" s="5">
        <v>0.413269755158858</v>
      </c>
      <c r="BS376" s="5">
        <v>-0.12453328216882099</v>
      </c>
      <c r="BT376" s="5">
        <v>0.63087727715466302</v>
      </c>
      <c r="BU376" s="5">
        <v>-0.247922640594154</v>
      </c>
      <c r="BV376" s="5">
        <v>0.53903895534897595</v>
      </c>
      <c r="BW376" s="5">
        <v>-0.118046203067374</v>
      </c>
      <c r="BX376" s="5">
        <v>0.51498136932730898</v>
      </c>
      <c r="BY376" s="5">
        <v>-0.166207851905709</v>
      </c>
      <c r="BZ376" s="5">
        <v>0.64609798779491501</v>
      </c>
      <c r="CA376" s="5">
        <v>-0.27801370513760398</v>
      </c>
      <c r="CB376" s="5">
        <v>0.46586483328265499</v>
      </c>
      <c r="CC376" s="5">
        <v>-0.182466808885871</v>
      </c>
      <c r="CD376" s="5">
        <v>0.32666843368731602</v>
      </c>
      <c r="CE376" s="5">
        <v>-6.3698133327038997E-2</v>
      </c>
      <c r="CF376" s="5">
        <v>0.58449415758072998</v>
      </c>
      <c r="CG376" s="5">
        <v>-0.29537152527799898</v>
      </c>
      <c r="CH376" s="5">
        <v>0.42836413400619699</v>
      </c>
      <c r="CI376" s="5">
        <v>-0.247124249176007</v>
      </c>
      <c r="CJ376" s="5">
        <v>8.4862424006456702E-2</v>
      </c>
      <c r="CK376" s="5">
        <v>0.24895956243831099</v>
      </c>
      <c r="CL376" s="5">
        <v>-3.3848516143247298E-2</v>
      </c>
      <c r="CM376" s="5">
        <v>8.3177154430980796E-2</v>
      </c>
      <c r="CN376" s="5">
        <v>-4.0310188678422003E-2</v>
      </c>
      <c r="CO376" s="5">
        <v>0.117627665798926</v>
      </c>
      <c r="CP376" s="5">
        <v>0.43505140093371603</v>
      </c>
      <c r="CQ376" s="5">
        <v>-0.12500550476213099</v>
      </c>
      <c r="CR376" s="5">
        <v>0.34132312208238902</v>
      </c>
      <c r="CS376" s="5">
        <v>-6.9310008033937207E-2</v>
      </c>
      <c r="CT376" s="5">
        <v>-7.1156025304793993E-2</v>
      </c>
      <c r="CU376" s="5">
        <v>8.7601043557036101E-2</v>
      </c>
      <c r="CV376" s="5">
        <v>0.35537095136546498</v>
      </c>
      <c r="CW376" s="5">
        <v>-9.1979667360890693E-2</v>
      </c>
      <c r="CX376" s="5">
        <v>0.51469433650178698</v>
      </c>
      <c r="CY376" s="5">
        <v>-0.117904131600339</v>
      </c>
      <c r="CZ376" s="5">
        <v>0.64355999091253502</v>
      </c>
      <c r="DA376" s="5">
        <v>-0.303472212286512</v>
      </c>
      <c r="DB376" s="5">
        <v>0.427439568100139</v>
      </c>
      <c r="DC376" s="5">
        <v>8.2283300815788801E-2</v>
      </c>
      <c r="DD376" s="5">
        <v>0.42124727534721101</v>
      </c>
      <c r="DE376" s="5">
        <v>-8.8464596395924397E-2</v>
      </c>
      <c r="DF376" s="5">
        <v>0.47851370302831098</v>
      </c>
      <c r="DG376" s="5">
        <v>-0.13455815599207099</v>
      </c>
      <c r="DH376" s="5">
        <v>0.242404975263871</v>
      </c>
      <c r="DI376" s="5">
        <v>0.14897447091166999</v>
      </c>
      <c r="DJ376" s="5">
        <v>-0.24010693797737701</v>
      </c>
      <c r="DK376" s="5">
        <v>0.247114760863372</v>
      </c>
      <c r="DL376" s="5">
        <v>0.533084470736928</v>
      </c>
      <c r="DM376" s="5">
        <v>-0.123639926727126</v>
      </c>
      <c r="DN376" s="5">
        <v>-0.325497617884624</v>
      </c>
      <c r="DO376" s="5">
        <v>0.283280704578868</v>
      </c>
      <c r="DP376" s="5">
        <v>0.38185252196212799</v>
      </c>
      <c r="DQ376" s="5">
        <v>-0.128581147845933</v>
      </c>
      <c r="DR376" s="5">
        <v>4.4932244003435998E-2</v>
      </c>
      <c r="DS376" s="5">
        <v>0.17397827165664401</v>
      </c>
      <c r="DT376" s="5">
        <v>0.33023254839495902</v>
      </c>
      <c r="DU376" s="5">
        <v>-0.15004576430464101</v>
      </c>
      <c r="DV376" s="5">
        <v>0.41241629218569997</v>
      </c>
      <c r="DW376" s="5">
        <v>-0.13349242193245101</v>
      </c>
      <c r="DX376" s="5">
        <v>-0.18201516557988301</v>
      </c>
      <c r="DY376" s="5">
        <v>0.22070662948329001</v>
      </c>
      <c r="DZ376" s="5">
        <v>0.112599990049426</v>
      </c>
      <c r="EA376" s="5">
        <v>-0.13582463285795601</v>
      </c>
      <c r="EB376" s="5">
        <v>0.55848341252936495</v>
      </c>
      <c r="EC376" s="5">
        <v>-0.228971869562551</v>
      </c>
      <c r="ED376" s="5">
        <v>0.53124443518489595</v>
      </c>
      <c r="EE376" s="5">
        <v>-0.15723594320891501</v>
      </c>
      <c r="EF376" s="5">
        <v>0.32080617588355298</v>
      </c>
      <c r="EG376" s="5">
        <v>-6.7399305788386696E-2</v>
      </c>
      <c r="EH376" s="5">
        <v>0.51035917959731003</v>
      </c>
      <c r="EI376" s="5">
        <v>-0.122368684107639</v>
      </c>
      <c r="EJ376" s="5">
        <v>0.48013829284967202</v>
      </c>
      <c r="EK376" s="5">
        <v>-8.9431469998109997E-2</v>
      </c>
      <c r="EL376" s="5">
        <v>0.677196121985984</v>
      </c>
      <c r="EM376" s="5">
        <v>-0.36851221822825903</v>
      </c>
      <c r="EN376" s="5">
        <v>0.164739423256965</v>
      </c>
      <c r="EO376" s="5">
        <v>0.17316094869985299</v>
      </c>
      <c r="EP376" s="5">
        <v>0.47657557852405802</v>
      </c>
      <c r="EQ376" s="5">
        <v>-0.21480111724923401</v>
      </c>
      <c r="ER376" s="5">
        <v>0.53208631529250705</v>
      </c>
      <c r="ES376" s="5">
        <v>-0.16147994946705299</v>
      </c>
      <c r="ET376" s="5">
        <v>0.58279677225835003</v>
      </c>
      <c r="EU376" s="5">
        <v>-0.290224622929946</v>
      </c>
      <c r="EV376" s="5">
        <v>0.56752931262036899</v>
      </c>
      <c r="EW376" s="5">
        <v>-0.23043963559722599</v>
      </c>
      <c r="EX376" s="5">
        <v>0.70594686102070303</v>
      </c>
      <c r="EY376" s="5">
        <v>-0.51162684569841299</v>
      </c>
      <c r="EZ376" s="5">
        <v>0.53974381035372798</v>
      </c>
      <c r="FA376" s="5">
        <v>-0.162599773301734</v>
      </c>
      <c r="FB376" s="5">
        <v>0.122510478463893</v>
      </c>
      <c r="FC376" s="5">
        <v>0.107725538653713</v>
      </c>
      <c r="FD376" s="5">
        <v>0.36645375004374098</v>
      </c>
      <c r="FE376" s="5">
        <v>-9.5275743247934003E-2</v>
      </c>
      <c r="FF376" s="5">
        <v>8.4990394844283404E-2</v>
      </c>
      <c r="FG376" s="5">
        <v>9.7090843749291902E-2</v>
      </c>
      <c r="FH376" s="5">
        <v>0.64484024170580501</v>
      </c>
      <c r="FI376" s="5">
        <v>-0.38299800645862297</v>
      </c>
      <c r="FJ376" s="5">
        <v>0.598028800319934</v>
      </c>
      <c r="FK376" s="5">
        <v>-0.12352747913423701</v>
      </c>
      <c r="FL376" s="5">
        <v>-0.201097055900477</v>
      </c>
      <c r="FM376" s="5">
        <v>0.248342950275212</v>
      </c>
      <c r="FN376" s="5">
        <v>0.29542009436358102</v>
      </c>
      <c r="FO376" s="5">
        <v>0.16850170541877599</v>
      </c>
      <c r="FP376" s="5">
        <v>0.31285200747051101</v>
      </c>
      <c r="FQ376" s="5">
        <v>0.15294180469645799</v>
      </c>
      <c r="FR376" s="5">
        <v>-0.35678999484330098</v>
      </c>
      <c r="FS376" s="5">
        <v>0.310872999749714</v>
      </c>
      <c r="FT376" s="5">
        <v>0.36304565291297303</v>
      </c>
      <c r="FU376" s="5">
        <v>0.14269240944038999</v>
      </c>
      <c r="FV376" s="5">
        <v>0.207102979749789</v>
      </c>
      <c r="FW376" s="5">
        <v>0.108689310378913</v>
      </c>
      <c r="FX376" s="5">
        <v>0.50197139140264002</v>
      </c>
      <c r="FY376" s="5">
        <v>-0.21638016025541101</v>
      </c>
      <c r="FZ376" s="5">
        <v>0.410198216998367</v>
      </c>
      <c r="GA376" s="5">
        <v>0.13032356997733599</v>
      </c>
      <c r="GB376" s="5">
        <v>8.6180641033731506E-2</v>
      </c>
      <c r="GC376" s="5">
        <v>0.20179230436286599</v>
      </c>
      <c r="GD376" s="5">
        <v>-0.21985602146772401</v>
      </c>
      <c r="GE376" s="5">
        <v>0.21803899717283801</v>
      </c>
      <c r="GF376" s="5">
        <v>0.434543742297611</v>
      </c>
      <c r="GG376" s="5">
        <v>-5.7471906571740901E-2</v>
      </c>
      <c r="GH376" s="5">
        <v>-0.40262195032912101</v>
      </c>
      <c r="GI376" s="5">
        <v>0.288301385175394</v>
      </c>
      <c r="GJ376" s="5">
        <v>0.84597465111821701</v>
      </c>
      <c r="GK376" s="5">
        <v>-0.61434084487959695</v>
      </c>
      <c r="GL376" s="5">
        <v>0.372429867940265</v>
      </c>
      <c r="GM376" s="5">
        <v>-0.110975151702061</v>
      </c>
      <c r="GN376" s="5">
        <v>9.2766887148928903E-2</v>
      </c>
      <c r="GO376" s="5">
        <v>0.25183321190407998</v>
      </c>
      <c r="GP376" s="5">
        <v>0.42318867644770902</v>
      </c>
      <c r="GQ376" s="5">
        <v>2.5698209402812401E-2</v>
      </c>
      <c r="GR376" s="5">
        <v>0.85275070240246797</v>
      </c>
      <c r="GS376" s="5">
        <v>-0.60972806931941903</v>
      </c>
      <c r="GT376" s="5">
        <v>0.25266295904844099</v>
      </c>
      <c r="GU376" s="5">
        <v>0.19402937497146699</v>
      </c>
      <c r="GV376" s="5">
        <v>0.40112744119277699</v>
      </c>
      <c r="GW376" s="5">
        <v>-0.17056323923637401</v>
      </c>
      <c r="GX376" s="5">
        <v>0.45920663933715899</v>
      </c>
      <c r="GY376" s="5">
        <v>-9.1313027554385903E-2</v>
      </c>
      <c r="GZ376" s="5">
        <v>-8.2106568850328104E-2</v>
      </c>
      <c r="HA376" s="5">
        <v>4.9568878352463201E-2</v>
      </c>
      <c r="HB376" s="5">
        <v>0.59696084445174302</v>
      </c>
      <c r="HC376" s="5">
        <v>-0.28316883037326401</v>
      </c>
      <c r="HD376" s="5">
        <v>0.113807275782395</v>
      </c>
      <c r="HE376" s="5">
        <v>0.30692757482840399</v>
      </c>
      <c r="HF376" s="5">
        <v>-0.18790805123573601</v>
      </c>
      <c r="HG376" s="5">
        <v>0.216651948232504</v>
      </c>
      <c r="HH376" s="5">
        <v>-4.3201056294420101E-2</v>
      </c>
      <c r="HI376" s="5">
        <v>0.13317373587348</v>
      </c>
      <c r="HJ376" s="5">
        <v>-0.207167955413947</v>
      </c>
      <c r="HK376" s="5">
        <v>0.217518713491379</v>
      </c>
      <c r="HL376" s="5">
        <v>0.49258728184862899</v>
      </c>
      <c r="HM376" s="5">
        <v>-9.7208078921765598E-2</v>
      </c>
      <c r="HN376" s="5">
        <v>6.0308804598344999E-2</v>
      </c>
      <c r="HO376" s="5">
        <v>0.108075495533603</v>
      </c>
      <c r="HP376" s="5">
        <v>0.53647782054946402</v>
      </c>
      <c r="HQ376" s="5">
        <v>-0.14085918893803001</v>
      </c>
      <c r="HR376" s="5">
        <v>0.56622145983951699</v>
      </c>
      <c r="HS376" s="5">
        <v>-0.201706334668214</v>
      </c>
      <c r="HT376" s="5">
        <v>2.9084992582274899E-2</v>
      </c>
      <c r="HU376" s="5">
        <v>0.212735559611924</v>
      </c>
      <c r="HV376" s="5">
        <v>0.43447060689827299</v>
      </c>
      <c r="HW376" s="5">
        <v>-7.4886269105667896E-2</v>
      </c>
      <c r="HX376" s="5">
        <v>0.75785727120618895</v>
      </c>
      <c r="HY376" s="5">
        <v>-0.42103552897263802</v>
      </c>
      <c r="HZ376" s="5">
        <v>-5.5414626457107798E-2</v>
      </c>
      <c r="IA376" s="5">
        <v>0.15455559666664401</v>
      </c>
      <c r="IB376" s="5">
        <v>-0.32314941745075698</v>
      </c>
      <c r="IC376" s="5">
        <v>0.242880897279763</v>
      </c>
      <c r="ID376" s="5">
        <v>0.51420085843118002</v>
      </c>
      <c r="IE376" s="5">
        <v>-3.8536934834333E-2</v>
      </c>
      <c r="IF376" s="5">
        <v>0.463636896979915</v>
      </c>
      <c r="IG376" s="5">
        <v>-6.5932118503608694E-2</v>
      </c>
      <c r="IH376" s="5">
        <v>0.39633784082836399</v>
      </c>
      <c r="II376" s="5">
        <v>-0.129682224398812</v>
      </c>
      <c r="IJ376" s="5">
        <v>0.31558007189062998</v>
      </c>
      <c r="IK376" s="5">
        <v>-0.16490478065300801</v>
      </c>
      <c r="IL376" s="5">
        <v>0.52288096128282102</v>
      </c>
      <c r="IM376" s="5">
        <v>-5.5481269441433598E-2</v>
      </c>
      <c r="IN376" s="5">
        <v>0.65229228028269803</v>
      </c>
      <c r="IO376" s="5">
        <v>-0.27827193253263799</v>
      </c>
      <c r="IP376" s="5">
        <v>0.58766693725129504</v>
      </c>
      <c r="IQ376" s="5">
        <v>-0.15827080749852801</v>
      </c>
      <c r="IR376" s="5">
        <v>0.23060968136239299</v>
      </c>
      <c r="IS376" s="5">
        <v>9.7298741311471898E-2</v>
      </c>
      <c r="IT376" s="5">
        <v>0.42941488341379802</v>
      </c>
      <c r="IU376" s="5">
        <v>-6.2894780940192394E-2</v>
      </c>
      <c r="IV376" s="5">
        <v>0.38143697109575198</v>
      </c>
      <c r="IW376" s="5">
        <v>-7.4469042008355593E-2</v>
      </c>
      <c r="IX376" s="5">
        <v>0.53843267926147897</v>
      </c>
      <c r="IY376" s="5">
        <v>-0.206410367247615</v>
      </c>
      <c r="IZ376" s="5">
        <v>1.10353364264734E-2</v>
      </c>
      <c r="JA376" s="5">
        <v>6.6554227305237704E-2</v>
      </c>
      <c r="JB376" s="5">
        <v>-0.28596323827921499</v>
      </c>
      <c r="JC376" s="5">
        <v>0.217267505950341</v>
      </c>
      <c r="JD376" s="5">
        <v>0.24504001969038</v>
      </c>
      <c r="JE376" s="5">
        <v>0.239933334816373</v>
      </c>
      <c r="JF376" s="5">
        <v>0.45159459696521598</v>
      </c>
      <c r="JG376" s="5">
        <v>-0.30432031891029498</v>
      </c>
      <c r="JH376" s="5">
        <v>0.13145850100148401</v>
      </c>
      <c r="JI376" s="5">
        <v>-2.4877393757068801E-2</v>
      </c>
      <c r="JJ376" s="5">
        <v>0.53460536472076703</v>
      </c>
      <c r="JK376" s="5">
        <v>-3.2080665836503902E-2</v>
      </c>
      <c r="JL376" s="5">
        <v>0.43052802485368402</v>
      </c>
      <c r="JM376" s="5">
        <v>3.4090106991338701E-2</v>
      </c>
      <c r="JN376" s="5">
        <v>0.57853523562959597</v>
      </c>
      <c r="JO376" s="5">
        <v>-0.27511906338965197</v>
      </c>
      <c r="JP376" s="5">
        <v>0.700531214680161</v>
      </c>
      <c r="JQ376" s="5">
        <v>-0.296473732306685</v>
      </c>
      <c r="JR376" s="5">
        <v>0.51769881752314495</v>
      </c>
      <c r="JS376" s="5">
        <v>-9.7699783652095196E-2</v>
      </c>
      <c r="JT376" s="5">
        <v>0.22933185530932401</v>
      </c>
      <c r="JU376" s="5">
        <v>3.7615480143180099E-2</v>
      </c>
      <c r="JV376" s="5">
        <v>0.64435344111167703</v>
      </c>
      <c r="JW376" s="5">
        <v>-0.29066242300940598</v>
      </c>
      <c r="JX376" s="5">
        <v>-8.7450405007345106E-2</v>
      </c>
      <c r="JY376" s="5">
        <v>0.15660271722847999</v>
      </c>
      <c r="JZ376" s="5">
        <v>0.30434107971646401</v>
      </c>
      <c r="KA376" s="5">
        <v>-2.5386502040579399E-2</v>
      </c>
      <c r="KB376" s="5">
        <v>-0.158486873696213</v>
      </c>
      <c r="KC376" s="5">
        <v>0.15271372330445099</v>
      </c>
      <c r="KD376" s="5">
        <v>0.313870107545416</v>
      </c>
      <c r="KE376" s="5">
        <v>7.0352155356617693E-2</v>
      </c>
      <c r="KF376" s="5">
        <v>0.54242670584486996</v>
      </c>
      <c r="KG376" s="5">
        <v>-0.27476968819926201</v>
      </c>
      <c r="KH376" s="5">
        <v>0.33643198608847402</v>
      </c>
      <c r="KI376" s="5">
        <v>0.16319650504813099</v>
      </c>
      <c r="KJ376" s="5">
        <v>0.41715635747055502</v>
      </c>
      <c r="KK376" s="5">
        <v>3.5056658918625798E-2</v>
      </c>
      <c r="KL376" s="5">
        <v>0.34505599274102</v>
      </c>
      <c r="KM376" s="5">
        <v>-0.14231221864547899</v>
      </c>
      <c r="KN376" s="5">
        <v>1.5365083868753701E-2</v>
      </c>
      <c r="KO376" s="5">
        <v>0.12396834317038399</v>
      </c>
      <c r="KP376" s="5">
        <v>-0.41247629403583602</v>
      </c>
      <c r="KQ376" s="5">
        <v>0.30002325282539599</v>
      </c>
      <c r="KR376" s="5">
        <v>0.51075330554498499</v>
      </c>
      <c r="KS376" s="5">
        <v>-0.14143970796679201</v>
      </c>
      <c r="KT376" s="5">
        <v>0.56903174762526598</v>
      </c>
      <c r="KU376" s="5">
        <v>-0.128764492140581</v>
      </c>
      <c r="KV376" s="5">
        <v>0.46041712159217202</v>
      </c>
      <c r="KW376" s="5">
        <v>-6.2551005417899402E-2</v>
      </c>
      <c r="KX376" s="5">
        <v>0.50448053872918597</v>
      </c>
      <c r="KY376" s="5">
        <v>-0.10954989478004799</v>
      </c>
      <c r="KZ376" s="5">
        <v>0.48968054605605699</v>
      </c>
      <c r="LA376" s="5">
        <v>-0.29162609857666499</v>
      </c>
      <c r="LB376" s="5">
        <v>0.63995383219871405</v>
      </c>
      <c r="LC376" s="5">
        <v>-0.28201953420457898</v>
      </c>
      <c r="LD376" s="5">
        <v>0.53325399425321995</v>
      </c>
      <c r="LE376" s="5">
        <v>-0.183160119989561</v>
      </c>
      <c r="LF376" s="5">
        <v>8.5027372465277695E-2</v>
      </c>
      <c r="LG376" s="5">
        <v>0.171069064900463</v>
      </c>
      <c r="LH376" s="5">
        <v>0.58456210518317298</v>
      </c>
      <c r="LI376" s="5">
        <v>-0.183201729763734</v>
      </c>
      <c r="LJ376" s="5">
        <v>6.8601278195458498E-2</v>
      </c>
      <c r="LK376" s="5">
        <v>0.175681178705163</v>
      </c>
      <c r="LL376" s="5">
        <v>0.48716705366846602</v>
      </c>
      <c r="LM376" s="5">
        <v>-0.16035832206918399</v>
      </c>
      <c r="LN376" s="5">
        <v>0.56214915535268495</v>
      </c>
      <c r="LO376" s="5">
        <v>-0.29551555255880102</v>
      </c>
      <c r="LP376" s="5">
        <v>0.53387156381015499</v>
      </c>
      <c r="LQ376" s="5">
        <v>-0.268876068996177</v>
      </c>
      <c r="LR376" s="5">
        <v>-5.08699641030875E-2</v>
      </c>
      <c r="LS376" s="5">
        <v>0.10211724542441999</v>
      </c>
      <c r="LT376" s="5">
        <v>7.0069290523662904E-3</v>
      </c>
      <c r="LU376" s="5">
        <v>9.21931478757477E-2</v>
      </c>
      <c r="LV376" s="5">
        <v>-0.290864319290419</v>
      </c>
      <c r="LW376" s="5">
        <v>0.246677699715036</v>
      </c>
      <c r="LX376" s="5">
        <v>0.26348391047415198</v>
      </c>
      <c r="LY376" s="5">
        <v>0.19957694734204301</v>
      </c>
      <c r="LZ376" s="5">
        <v>0.55726108626402004</v>
      </c>
      <c r="MA376" s="5">
        <v>-0.202626733362297</v>
      </c>
      <c r="MB376" s="5">
        <v>0.539911255710116</v>
      </c>
      <c r="MC376" s="5">
        <v>-0.24020540063072299</v>
      </c>
      <c r="MD376" s="5">
        <v>0.82250970066141205</v>
      </c>
      <c r="ME376" s="5">
        <v>-0.60473265339292803</v>
      </c>
      <c r="MF376" s="5">
        <v>-0.299373796883806</v>
      </c>
      <c r="MG376" s="5">
        <v>0.22698664230054899</v>
      </c>
      <c r="MH376" s="5">
        <v>0.32557379806785303</v>
      </c>
      <c r="MI376" s="5">
        <v>0.12973809821612001</v>
      </c>
      <c r="MJ376" s="5">
        <v>0.12846099771248701</v>
      </c>
      <c r="MK376" s="5">
        <v>8.8495129408383305E-2</v>
      </c>
      <c r="ML376" s="5">
        <v>0.341106347214919</v>
      </c>
      <c r="MM376" s="5">
        <v>-0.23749168645909</v>
      </c>
      <c r="MN376" s="5">
        <v>0.34666347135283399</v>
      </c>
      <c r="MO376" s="5">
        <v>-7.6173119067461506E-2</v>
      </c>
      <c r="MP376" s="5">
        <v>0.460836268519632</v>
      </c>
      <c r="MQ376" s="5">
        <v>-0.12728736040571501</v>
      </c>
      <c r="MR376" s="5">
        <v>0.191674998851661</v>
      </c>
      <c r="MS376" s="5">
        <v>0.101063823914757</v>
      </c>
      <c r="MT376" s="5">
        <v>0.21423092205646099</v>
      </c>
      <c r="MU376" s="5">
        <v>-0.101001914785476</v>
      </c>
      <c r="MV376" s="5">
        <v>0.53801967134768702</v>
      </c>
      <c r="MW376" s="5">
        <v>-0.179173753362219</v>
      </c>
      <c r="MX376" s="5">
        <v>0.51194375689025595</v>
      </c>
      <c r="MY376" s="5">
        <v>-0.102213356474931</v>
      </c>
      <c r="MZ376" s="5">
        <v>0.45739238482468503</v>
      </c>
      <c r="NA376" s="5">
        <v>-0.17293964287660099</v>
      </c>
      <c r="NB376" s="5">
        <v>-2.5192385294258501E-2</v>
      </c>
      <c r="NC376" s="5">
        <v>0.105568389220884</v>
      </c>
      <c r="ND376" s="5">
        <v>0.22753841023329399</v>
      </c>
      <c r="NE376" s="5">
        <v>0.164189596292829</v>
      </c>
      <c r="NF376" s="5">
        <v>-0.20533791018098899</v>
      </c>
      <c r="NG376" s="5">
        <v>0.40050264362329002</v>
      </c>
      <c r="NH376" s="5">
        <v>0.17469012091803701</v>
      </c>
      <c r="NI376" s="5">
        <v>0.29591593175636199</v>
      </c>
      <c r="NJ376" s="5">
        <v>0.610399144932534</v>
      </c>
      <c r="NK376" s="5">
        <v>-0.239180624055742</v>
      </c>
      <c r="NL376" s="5">
        <v>1</v>
      </c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</row>
    <row r="377" spans="1:389" x14ac:dyDescent="0.45">
      <c r="A377" s="4" t="str">
        <f ca="1">"VNM / beta2dist in "&amp;CELL("address",'damages-1990'!$K$189)</f>
        <v>VNM / beta2dist in '[BHM betas v3pd.xlsx]damages-1990'!$K$189</v>
      </c>
      <c r="B377" s="6">
        <v>-3.8059905802061401E-2</v>
      </c>
      <c r="C377" s="5">
        <v>-3.7361010835804197E-2</v>
      </c>
      <c r="D377" s="5">
        <v>-0.36531444914563299</v>
      </c>
      <c r="E377" s="5">
        <v>0.41176852224542398</v>
      </c>
      <c r="F377" s="5">
        <v>-1.15664390835509E-2</v>
      </c>
      <c r="G377" s="5">
        <v>-5.4919879324543001E-2</v>
      </c>
      <c r="H377" s="5">
        <v>0.132870691153577</v>
      </c>
      <c r="I377" s="5">
        <v>-0.15095283871548501</v>
      </c>
      <c r="J377" s="5">
        <v>-0.26669269650710198</v>
      </c>
      <c r="K377" s="5">
        <v>0.25340711188849802</v>
      </c>
      <c r="L377" s="5">
        <v>-0.233632708688948</v>
      </c>
      <c r="M377" s="5">
        <v>0.25098320555395598</v>
      </c>
      <c r="N377" s="5">
        <v>-0.118446943711655</v>
      </c>
      <c r="O377" s="5">
        <v>0.135232633416624</v>
      </c>
      <c r="P377" s="5">
        <v>-0.36509246684694602</v>
      </c>
      <c r="Q377" s="5">
        <v>0.38116400569687597</v>
      </c>
      <c r="R377" s="5">
        <v>-0.248701224767791</v>
      </c>
      <c r="S377" s="5">
        <v>0.269466771852653</v>
      </c>
      <c r="T377" s="5">
        <v>-0.106034191493355</v>
      </c>
      <c r="U377" s="5">
        <v>0.111397225796369</v>
      </c>
      <c r="V377" s="5">
        <v>2.2088640453943501E-2</v>
      </c>
      <c r="W377" s="5">
        <v>-0.15474855000727</v>
      </c>
      <c r="X377" s="5">
        <v>-0.32194542602417903</v>
      </c>
      <c r="Y377" s="5">
        <v>0.34736782584936798</v>
      </c>
      <c r="Z377" s="5">
        <v>-5.3158968998151999E-2</v>
      </c>
      <c r="AA377" s="5">
        <v>6.4094402931731798E-2</v>
      </c>
      <c r="AB377" s="5">
        <v>-0.49144179001550697</v>
      </c>
      <c r="AC377" s="5">
        <v>0.61296936459220797</v>
      </c>
      <c r="AD377" s="5">
        <v>-0.40391447529716801</v>
      </c>
      <c r="AE377" s="5">
        <v>0.476829247497494</v>
      </c>
      <c r="AF377" s="5">
        <v>-0.35594285288879601</v>
      </c>
      <c r="AG377" s="5">
        <v>0.38956598080438398</v>
      </c>
      <c r="AH377" s="5">
        <v>-2.1557345692828401E-2</v>
      </c>
      <c r="AI377" s="5">
        <v>-2.4182952558835801E-2</v>
      </c>
      <c r="AJ377" s="5">
        <v>-0.20864951654535499</v>
      </c>
      <c r="AK377" s="5">
        <v>0.185384316655578</v>
      </c>
      <c r="AL377" s="5">
        <v>-0.185284641307916</v>
      </c>
      <c r="AM377" s="5">
        <v>0.179873033100232</v>
      </c>
      <c r="AN377" s="5">
        <v>-7.1134196701954103E-2</v>
      </c>
      <c r="AO377" s="5">
        <v>5.5937980186995098E-2</v>
      </c>
      <c r="AP377" s="5">
        <v>-6.08680966852371E-2</v>
      </c>
      <c r="AQ377" s="5">
        <v>6.0764316289594597E-2</v>
      </c>
      <c r="AR377" s="5">
        <v>-0.27509071191654899</v>
      </c>
      <c r="AS377" s="5">
        <v>0.32048613401905002</v>
      </c>
      <c r="AT377" s="5">
        <v>-7.2049737900896901E-2</v>
      </c>
      <c r="AU377" s="5">
        <v>5.1129673278570001E-2</v>
      </c>
      <c r="AV377" s="5">
        <v>-0.41934825067378501</v>
      </c>
      <c r="AW377" s="5">
        <v>0.54000855251846602</v>
      </c>
      <c r="AX377" s="5">
        <v>-0.41911394251010298</v>
      </c>
      <c r="AY377" s="5">
        <v>0.52604239761990901</v>
      </c>
      <c r="AZ377" s="5">
        <v>-0.459873259101585</v>
      </c>
      <c r="BA377" s="5">
        <v>0.47960937213563598</v>
      </c>
      <c r="BB377" s="5">
        <v>-0.243138344949971</v>
      </c>
      <c r="BC377" s="5">
        <v>0.259200417289142</v>
      </c>
      <c r="BD377" s="5">
        <v>-1.2098779678301501E-2</v>
      </c>
      <c r="BE377" s="5">
        <v>-8.2864131735079505E-2</v>
      </c>
      <c r="BF377" s="5">
        <v>-0.32647239637660602</v>
      </c>
      <c r="BG377" s="5">
        <v>0.33650381723785799</v>
      </c>
      <c r="BH377" s="5">
        <v>-0.454116749876948</v>
      </c>
      <c r="BI377" s="5">
        <v>0.55996388161653499</v>
      </c>
      <c r="BJ377" s="5">
        <v>0.115156824152674</v>
      </c>
      <c r="BK377" s="5">
        <v>-0.206172280470033</v>
      </c>
      <c r="BL377" s="5">
        <v>-0.100193819681963</v>
      </c>
      <c r="BM377" s="5">
        <v>0.109105005346553</v>
      </c>
      <c r="BN377" s="5">
        <v>0.18388064267731999</v>
      </c>
      <c r="BO377" s="5">
        <v>-0.29311669145013602</v>
      </c>
      <c r="BP377" s="5">
        <v>0.165072572605824</v>
      </c>
      <c r="BQ377" s="5">
        <v>-0.33236779156962198</v>
      </c>
      <c r="BR377" s="5">
        <v>-0.39668961080695597</v>
      </c>
      <c r="BS377" s="5">
        <v>0.50129727058780105</v>
      </c>
      <c r="BT377" s="5">
        <v>-0.41610887648734501</v>
      </c>
      <c r="BU377" s="5">
        <v>0.54861342558074899</v>
      </c>
      <c r="BV377" s="5">
        <v>-0.354494212398205</v>
      </c>
      <c r="BW377" s="5">
        <v>0.42046517514772502</v>
      </c>
      <c r="BX377" s="5">
        <v>-0.36776617472307199</v>
      </c>
      <c r="BY377" s="5">
        <v>0.470994660256218</v>
      </c>
      <c r="BZ377" s="5">
        <v>-0.49289069475592601</v>
      </c>
      <c r="CA377" s="5">
        <v>0.56299623082362504</v>
      </c>
      <c r="CB377" s="5">
        <v>-0.27795861084736101</v>
      </c>
      <c r="CC377" s="5">
        <v>0.32403760055515202</v>
      </c>
      <c r="CD377" s="5">
        <v>-0.18681159398007699</v>
      </c>
      <c r="CE377" s="5">
        <v>0.177989056596604</v>
      </c>
      <c r="CF377" s="5">
        <v>-0.47908729124882499</v>
      </c>
      <c r="CG377" s="5">
        <v>0.49812220574953298</v>
      </c>
      <c r="CH377" s="5">
        <v>-0.10174101627773501</v>
      </c>
      <c r="CI377" s="5">
        <v>0.13640214413327001</v>
      </c>
      <c r="CJ377" s="5">
        <v>0.158760172177525</v>
      </c>
      <c r="CK377" s="5">
        <v>-0.23520803734364101</v>
      </c>
      <c r="CL377" s="5">
        <v>-8.3846156560450497E-2</v>
      </c>
      <c r="CM377" s="5">
        <v>8.4282802806205398E-2</v>
      </c>
      <c r="CN377" s="5">
        <v>-6.6372981999021793E-2</v>
      </c>
      <c r="CO377" s="5">
        <v>6.7443136712501503E-2</v>
      </c>
      <c r="CP377" s="5">
        <v>-0.47752376473234098</v>
      </c>
      <c r="CQ377" s="5">
        <v>0.460699560865239</v>
      </c>
      <c r="CR377" s="5">
        <v>-0.30769456142958002</v>
      </c>
      <c r="CS377" s="5">
        <v>0.32071450084691899</v>
      </c>
      <c r="CT377" s="5">
        <v>-0.100311508343314</v>
      </c>
      <c r="CU377" s="5">
        <v>0.124894133285466</v>
      </c>
      <c r="CV377" s="5">
        <v>-0.303930756690934</v>
      </c>
      <c r="CW377" s="5">
        <v>0.34674702287151399</v>
      </c>
      <c r="CX377" s="5">
        <v>-0.37135402726352501</v>
      </c>
      <c r="CY377" s="5">
        <v>0.42855211725452902</v>
      </c>
      <c r="CZ377" s="5">
        <v>-0.49305711423276299</v>
      </c>
      <c r="DA377" s="5">
        <v>0.55149999258304605</v>
      </c>
      <c r="DB377" s="5">
        <v>-0.185720792584115</v>
      </c>
      <c r="DC377" s="5">
        <v>0.119130611459941</v>
      </c>
      <c r="DD377" s="5">
        <v>-0.39409247378488999</v>
      </c>
      <c r="DE377" s="5">
        <v>0.42786914034330797</v>
      </c>
      <c r="DF377" s="5">
        <v>-0.26442133617296398</v>
      </c>
      <c r="DG377" s="5">
        <v>0.292057017428628</v>
      </c>
      <c r="DH377" s="5">
        <v>-0.124585281711632</v>
      </c>
      <c r="DI377" s="5">
        <v>9.4919447687508901E-2</v>
      </c>
      <c r="DJ377" s="5">
        <v>-2.7694711855747602E-2</v>
      </c>
      <c r="DK377" s="5">
        <v>1.7913526614793802E-2</v>
      </c>
      <c r="DL377" s="5">
        <v>-0.38702024959614201</v>
      </c>
      <c r="DM377" s="5">
        <v>0.437362126036628</v>
      </c>
      <c r="DN377" s="5">
        <v>3.0951748872250301E-2</v>
      </c>
      <c r="DO377" s="5">
        <v>-5.5751578473613499E-2</v>
      </c>
      <c r="DP377" s="5">
        <v>-7.9100424974064998E-2</v>
      </c>
      <c r="DQ377" s="5">
        <v>0.12021903382664299</v>
      </c>
      <c r="DR377" s="5">
        <v>-4.31113737861245E-2</v>
      </c>
      <c r="DS377" s="5">
        <v>3.4751854395584703E-2</v>
      </c>
      <c r="DT377" s="5">
        <v>-0.30827390886357903</v>
      </c>
      <c r="DU377" s="5">
        <v>0.34300817287977498</v>
      </c>
      <c r="DV377" s="5">
        <v>-0.340889918953235</v>
      </c>
      <c r="DW377" s="5">
        <v>0.440783560546952</v>
      </c>
      <c r="DX377" s="5">
        <v>4.2143208532551699E-2</v>
      </c>
      <c r="DY377" s="5">
        <v>-2.2489687386012501E-2</v>
      </c>
      <c r="DZ377" s="5">
        <v>-0.16043962168158199</v>
      </c>
      <c r="EA377" s="5">
        <v>0.22759386956175801</v>
      </c>
      <c r="EB377" s="5">
        <v>-0.49963501555087497</v>
      </c>
      <c r="EC377" s="5">
        <v>0.58437091380559403</v>
      </c>
      <c r="ED377" s="5">
        <v>-0.45612239338160598</v>
      </c>
      <c r="EE377" s="5">
        <v>0.51782239385945805</v>
      </c>
      <c r="EF377" s="5">
        <v>-0.325086708560475</v>
      </c>
      <c r="EG377" s="5">
        <v>0.333464795779434</v>
      </c>
      <c r="EH377" s="5">
        <v>-0.31776892053785799</v>
      </c>
      <c r="EI377" s="5">
        <v>0.387973252895154</v>
      </c>
      <c r="EJ377" s="5">
        <v>-0.32204747991100402</v>
      </c>
      <c r="EK377" s="5">
        <v>0.39130907583310898</v>
      </c>
      <c r="EL377" s="5">
        <v>-0.45672156389775798</v>
      </c>
      <c r="EM377" s="5">
        <v>0.58450860894579004</v>
      </c>
      <c r="EN377" s="5">
        <v>6.2387485099759998E-2</v>
      </c>
      <c r="EO377" s="5">
        <v>-0.13937279409858</v>
      </c>
      <c r="EP377" s="5">
        <v>-0.45849865651020499</v>
      </c>
      <c r="EQ377" s="5">
        <v>0.47903670123628</v>
      </c>
      <c r="ER377" s="5">
        <v>-0.27614871748361802</v>
      </c>
      <c r="ES377" s="5">
        <v>0.31629326086778697</v>
      </c>
      <c r="ET377" s="5">
        <v>-0.306111444233372</v>
      </c>
      <c r="EU377" s="5">
        <v>0.418865024238811</v>
      </c>
      <c r="EV377" s="5">
        <v>-0.35796819530116097</v>
      </c>
      <c r="EW377" s="5">
        <v>0.44117397228751598</v>
      </c>
      <c r="EX377" s="5">
        <v>-0.40672769005745302</v>
      </c>
      <c r="EY377" s="5">
        <v>0.59625096089107898</v>
      </c>
      <c r="EZ377" s="5">
        <v>-0.32191720112303701</v>
      </c>
      <c r="FA377" s="5">
        <v>0.37736142433491499</v>
      </c>
      <c r="FB377" s="5">
        <v>-8.9094164741102697E-2</v>
      </c>
      <c r="FC377" s="5">
        <v>8.0981272602722795E-2</v>
      </c>
      <c r="FD377" s="5">
        <v>-0.203953552463743</v>
      </c>
      <c r="FE377" s="5">
        <v>0.26514328413442101</v>
      </c>
      <c r="FF377" s="5">
        <v>-7.7653092137450599E-2</v>
      </c>
      <c r="FG377" s="5">
        <v>7.3363868641850002E-2</v>
      </c>
      <c r="FH377" s="5">
        <v>-0.239765700038337</v>
      </c>
      <c r="FI377" s="5">
        <v>0.33842356532726803</v>
      </c>
      <c r="FJ377" s="5">
        <v>-0.43766787834468301</v>
      </c>
      <c r="FK377" s="5">
        <v>0.42725714536397902</v>
      </c>
      <c r="FL377" s="5">
        <v>0.15952892036709099</v>
      </c>
      <c r="FM377" s="5">
        <v>-0.152415988058522</v>
      </c>
      <c r="FN377" s="5">
        <v>-0.109759207130612</v>
      </c>
      <c r="FO377" s="5">
        <v>5.5571400914410998E-2</v>
      </c>
      <c r="FP377" s="5">
        <v>-6.8446594089022303E-2</v>
      </c>
      <c r="FQ377" s="5">
        <v>-1.3837871370148001E-2</v>
      </c>
      <c r="FR377" s="5">
        <v>0.44197828111013299</v>
      </c>
      <c r="FS377" s="5">
        <v>-0.46621913436483398</v>
      </c>
      <c r="FT377" s="5">
        <v>-0.12098754706737901</v>
      </c>
      <c r="FU377" s="5">
        <v>2.6583216116039102E-2</v>
      </c>
      <c r="FV377" s="5">
        <v>-8.9377185000732703E-2</v>
      </c>
      <c r="FW377" s="5">
        <v>8.1441400417282997E-2</v>
      </c>
      <c r="FX377" s="5">
        <v>-0.32936613356789801</v>
      </c>
      <c r="FY377" s="5">
        <v>0.36706437281629001</v>
      </c>
      <c r="FZ377" s="5">
        <v>-0.15404239531904801</v>
      </c>
      <c r="GA377" s="5">
        <v>5.4427977962832698E-2</v>
      </c>
      <c r="GB377" s="5">
        <v>-6.3917869052357995E-2</v>
      </c>
      <c r="GC377" s="5">
        <v>4.3792192825977197E-2</v>
      </c>
      <c r="GD377" s="5">
        <v>7.4449916380810499E-2</v>
      </c>
      <c r="GE377" s="5">
        <v>-4.2784681622770902E-2</v>
      </c>
      <c r="GF377" s="5">
        <v>-0.16464279984625699</v>
      </c>
      <c r="GG377" s="5">
        <v>0.27167523073793998</v>
      </c>
      <c r="GH377" s="5">
        <v>0.44564807433077402</v>
      </c>
      <c r="GI377" s="5">
        <v>-0.51388448289467004</v>
      </c>
      <c r="GJ377" s="5">
        <v>-0.60932595286857505</v>
      </c>
      <c r="GK377" s="5">
        <v>0.780800955373118</v>
      </c>
      <c r="GL377" s="5">
        <v>-0.41996869110215401</v>
      </c>
      <c r="GM377" s="5">
        <v>0.40828523900639502</v>
      </c>
      <c r="GN377" s="5">
        <v>-4.0752491504432997E-2</v>
      </c>
      <c r="GO377" s="5">
        <v>7.3045766306076504E-3</v>
      </c>
      <c r="GP377" s="5">
        <v>-0.21418440412050499</v>
      </c>
      <c r="GQ377" s="5">
        <v>0.18078632488644999</v>
      </c>
      <c r="GR377" s="5">
        <v>-0.64409064811232597</v>
      </c>
      <c r="GS377" s="5">
        <v>0.81722726721985794</v>
      </c>
      <c r="GT377" s="5">
        <v>-3.6591064571271502E-2</v>
      </c>
      <c r="GU377" s="5">
        <v>-8.8470822584362396E-2</v>
      </c>
      <c r="GV377" s="5">
        <v>-0.28979919410701999</v>
      </c>
      <c r="GW377" s="5">
        <v>0.450753489043758</v>
      </c>
      <c r="GX377" s="5">
        <v>-0.26925582268641002</v>
      </c>
      <c r="GY377" s="5">
        <v>0.29467935765292302</v>
      </c>
      <c r="GZ377" s="5">
        <v>-9.7477704915946706E-2</v>
      </c>
      <c r="HA377" s="5">
        <v>9.8668478180451602E-2</v>
      </c>
      <c r="HB377" s="5">
        <v>-0.33219375771729698</v>
      </c>
      <c r="HC377" s="5">
        <v>0.44400179615318303</v>
      </c>
      <c r="HD377" s="5">
        <v>-3.8510772076940397E-2</v>
      </c>
      <c r="HE377" s="5">
        <v>-2.6749636029392499E-2</v>
      </c>
      <c r="HF377" s="5">
        <v>-3.9125561343225403E-2</v>
      </c>
      <c r="HG377" s="5">
        <v>2.9264352307137899E-2</v>
      </c>
      <c r="HH377" s="5">
        <v>-4.39338001323352E-2</v>
      </c>
      <c r="HI377" s="5">
        <v>4.4042859608910002E-2</v>
      </c>
      <c r="HJ377" s="5">
        <v>-4.13239194205553E-2</v>
      </c>
      <c r="HK377" s="5">
        <v>3.5021796821025998E-2</v>
      </c>
      <c r="HL377" s="5">
        <v>-0.32410962455873699</v>
      </c>
      <c r="HM377" s="5">
        <v>0.35588413335695601</v>
      </c>
      <c r="HN377" s="5">
        <v>-7.2185207197096604E-2</v>
      </c>
      <c r="HO377" s="5">
        <v>7.2838880672271303E-2</v>
      </c>
      <c r="HP377" s="5">
        <v>-0.23349589887893701</v>
      </c>
      <c r="HQ377" s="5">
        <v>0.335734014239778</v>
      </c>
      <c r="HR377" s="5">
        <v>-0.25133740037126001</v>
      </c>
      <c r="HS377" s="5">
        <v>0.34443189124958401</v>
      </c>
      <c r="HT377" s="5">
        <v>-1.9092691550752699E-2</v>
      </c>
      <c r="HU377" s="5">
        <v>-2.80450088595048E-2</v>
      </c>
      <c r="HV377" s="5">
        <v>-0.30982735279611101</v>
      </c>
      <c r="HW377" s="5">
        <v>0.38308136621633798</v>
      </c>
      <c r="HX377" s="5">
        <v>-0.56034937409850405</v>
      </c>
      <c r="HY377" s="5">
        <v>0.71289860391173598</v>
      </c>
      <c r="HZ377" s="5">
        <v>-2.74706286078607E-2</v>
      </c>
      <c r="IA377" s="5">
        <v>7.6829695846719597E-3</v>
      </c>
      <c r="IB377" s="5">
        <v>0.200771516009323</v>
      </c>
      <c r="IC377" s="5">
        <v>-0.20106194792177401</v>
      </c>
      <c r="ID377" s="5">
        <v>-0.21703336292236799</v>
      </c>
      <c r="IE377" s="5">
        <v>0.22716657758688399</v>
      </c>
      <c r="IF377" s="5">
        <v>-0.26873780849414503</v>
      </c>
      <c r="IG377" s="5">
        <v>0.32563693585233899</v>
      </c>
      <c r="IH377" s="5">
        <v>-0.36232430855775499</v>
      </c>
      <c r="II377" s="5">
        <v>0.38319830142398797</v>
      </c>
      <c r="IJ377" s="5">
        <v>-0.160282340588254</v>
      </c>
      <c r="IK377" s="5">
        <v>0.217362589314469</v>
      </c>
      <c r="IL377" s="5">
        <v>-0.222635893507097</v>
      </c>
      <c r="IM377" s="5">
        <v>0.224085311185379</v>
      </c>
      <c r="IN377" s="5">
        <v>-0.31615384034753202</v>
      </c>
      <c r="IO377" s="5">
        <v>0.37985344916020097</v>
      </c>
      <c r="IP377" s="5">
        <v>-0.385834120526098</v>
      </c>
      <c r="IQ377" s="5">
        <v>0.40143545176135298</v>
      </c>
      <c r="IR377" s="5">
        <v>1.9488043681766501E-2</v>
      </c>
      <c r="IS377" s="5">
        <v>-0.10521216725190601</v>
      </c>
      <c r="IT377" s="5">
        <v>-0.26551499468096001</v>
      </c>
      <c r="IU377" s="5">
        <v>0.33246389623216699</v>
      </c>
      <c r="IV377" s="5">
        <v>-0.32821315284465002</v>
      </c>
      <c r="IW377" s="5">
        <v>0.43005195370567401</v>
      </c>
      <c r="IX377" s="5">
        <v>-0.37277388105027898</v>
      </c>
      <c r="IY377" s="5">
        <v>0.44416202807007998</v>
      </c>
      <c r="IZ377" s="5">
        <v>-9.3271820177287801E-2</v>
      </c>
      <c r="JA377" s="5">
        <v>0.11141972332826899</v>
      </c>
      <c r="JB377" s="5">
        <v>-2.1657621450082799E-2</v>
      </c>
      <c r="JC377" s="5">
        <v>2.4380930181641901E-2</v>
      </c>
      <c r="JD377" s="5">
        <v>-0.113966213749781</v>
      </c>
      <c r="JE377" s="5">
        <v>5.6531753008091601E-2</v>
      </c>
      <c r="JF377" s="5">
        <v>-0.33626166577827199</v>
      </c>
      <c r="JG377" s="5">
        <v>0.44030519738335699</v>
      </c>
      <c r="JH377" s="5">
        <v>-0.13557533866251401</v>
      </c>
      <c r="JI377" s="5">
        <v>0.156096967281279</v>
      </c>
      <c r="JJ377" s="5">
        <v>-0.33204919673461503</v>
      </c>
      <c r="JK377" s="5">
        <v>0.33484505775401102</v>
      </c>
      <c r="JL377" s="5">
        <v>-0.26584228627740902</v>
      </c>
      <c r="JM377" s="5">
        <v>0.25322296394104699</v>
      </c>
      <c r="JN377" s="5">
        <v>-0.492151145893157</v>
      </c>
      <c r="JO377" s="5">
        <v>0.53611782135930197</v>
      </c>
      <c r="JP377" s="5">
        <v>-0.45287762506372298</v>
      </c>
      <c r="JQ377" s="5">
        <v>0.54681756366856604</v>
      </c>
      <c r="JR377" s="5">
        <v>-0.17091646370800201</v>
      </c>
      <c r="JS377" s="5">
        <v>0.19369406082736701</v>
      </c>
      <c r="JT377" s="5">
        <v>6.4741084806805294E-2</v>
      </c>
      <c r="JU377" s="5">
        <v>-5.8118054407918403E-2</v>
      </c>
      <c r="JV377" s="5">
        <v>-0.30292001737526603</v>
      </c>
      <c r="JW377" s="5">
        <v>0.39909523194053897</v>
      </c>
      <c r="JX377" s="5">
        <v>-5.19511780354295E-2</v>
      </c>
      <c r="JY377" s="5">
        <v>3.9251962937397501E-2</v>
      </c>
      <c r="JZ377" s="5">
        <v>-0.33514312562862397</v>
      </c>
      <c r="KA377" s="5">
        <v>0.32021766227249299</v>
      </c>
      <c r="KB377" s="5">
        <v>-9.9043741932710996E-2</v>
      </c>
      <c r="KC377" s="5">
        <v>0.13144685355701299</v>
      </c>
      <c r="KD377" s="5">
        <v>-0.123003229863931</v>
      </c>
      <c r="KE377" s="5">
        <v>4.8405286449377603E-2</v>
      </c>
      <c r="KF377" s="5">
        <v>-0.28982098884327201</v>
      </c>
      <c r="KG377" s="5">
        <v>0.32551607936982602</v>
      </c>
      <c r="KH377" s="5">
        <v>-0.10723213559801099</v>
      </c>
      <c r="KI377" s="5">
        <v>6.2367424892272099E-3</v>
      </c>
      <c r="KJ377" s="5">
        <v>-0.214518652449154</v>
      </c>
      <c r="KK377" s="5">
        <v>0.19506097679548701</v>
      </c>
      <c r="KL377" s="5">
        <v>-8.7406273429626494E-2</v>
      </c>
      <c r="KM377" s="5">
        <v>0.134121907925982</v>
      </c>
      <c r="KN377" s="5">
        <v>-5.4391852180554902E-2</v>
      </c>
      <c r="KO377" s="5">
        <v>4.4737102527840203E-2</v>
      </c>
      <c r="KP377" s="5">
        <v>0.20012220504398101</v>
      </c>
      <c r="KQ377" s="5">
        <v>-0.18954658127320001</v>
      </c>
      <c r="KR377" s="5">
        <v>-0.34202781078638</v>
      </c>
      <c r="KS377" s="5">
        <v>0.407512181382233</v>
      </c>
      <c r="KT377" s="5">
        <v>-0.37382491447307098</v>
      </c>
      <c r="KU377" s="5">
        <v>0.41177049144341699</v>
      </c>
      <c r="KV377" s="5">
        <v>-0.27067390667304198</v>
      </c>
      <c r="KW377" s="5">
        <v>0.31968706173868799</v>
      </c>
      <c r="KX377" s="5">
        <v>-0.33753603703780999</v>
      </c>
      <c r="KY377" s="5">
        <v>0.39800891959760598</v>
      </c>
      <c r="KZ377" s="5">
        <v>-0.36534748953789098</v>
      </c>
      <c r="LA377" s="5">
        <v>0.44634464891589998</v>
      </c>
      <c r="LB377" s="5">
        <v>-0.41019460479167902</v>
      </c>
      <c r="LC377" s="5">
        <v>0.50004706805189902</v>
      </c>
      <c r="LD377" s="5">
        <v>-0.32800653664087198</v>
      </c>
      <c r="LE377" s="5">
        <v>0.37879299557750501</v>
      </c>
      <c r="LF377" s="5">
        <v>-5.58452021423122E-2</v>
      </c>
      <c r="LG377" s="5">
        <v>3.56780442907665E-2</v>
      </c>
      <c r="LH377" s="5">
        <v>-0.36702774759093798</v>
      </c>
      <c r="LI377" s="5">
        <v>0.43555530252837898</v>
      </c>
      <c r="LJ377" s="5">
        <v>-5.6591510964224399E-2</v>
      </c>
      <c r="LK377" s="5">
        <v>2.6453744423799799E-2</v>
      </c>
      <c r="LL377" s="5">
        <v>-0.30074127863310302</v>
      </c>
      <c r="LM377" s="5">
        <v>0.39989602334935398</v>
      </c>
      <c r="LN377" s="5">
        <v>-0.394168194874984</v>
      </c>
      <c r="LO377" s="5">
        <v>0.486030514953185</v>
      </c>
      <c r="LP377" s="5">
        <v>-0.26374342253742999</v>
      </c>
      <c r="LQ377" s="5">
        <v>0.40466205974116298</v>
      </c>
      <c r="LR377" s="5">
        <v>-5.9150625974796998E-2</v>
      </c>
      <c r="LS377" s="5">
        <v>5.0217120840370499E-2</v>
      </c>
      <c r="LT377" s="5">
        <v>-0.103400539154146</v>
      </c>
      <c r="LU377" s="5">
        <v>0.103838288201517</v>
      </c>
      <c r="LV377" s="5">
        <v>-4.5924990789530697E-3</v>
      </c>
      <c r="LW377" s="5">
        <v>-1.18965025491512E-2</v>
      </c>
      <c r="LX377" s="5">
        <v>-4.0988394647154897E-2</v>
      </c>
      <c r="LY377" s="5">
        <v>-6.2322090223119797E-2</v>
      </c>
      <c r="LZ377" s="5">
        <v>-0.353955922686011</v>
      </c>
      <c r="MA377" s="5">
        <v>0.45636287287352301</v>
      </c>
      <c r="MB377" s="5">
        <v>-0.48494766841459203</v>
      </c>
      <c r="MC377" s="5">
        <v>0.60220016463460802</v>
      </c>
      <c r="MD377" s="5">
        <v>-0.60487338730797102</v>
      </c>
      <c r="ME377" s="5">
        <v>0.77478585699401603</v>
      </c>
      <c r="MF377" s="5">
        <v>0.38816050307782202</v>
      </c>
      <c r="MG377" s="5">
        <v>-0.472747617229549</v>
      </c>
      <c r="MH377" s="5">
        <v>-8.5018743577625594E-2</v>
      </c>
      <c r="MI377" s="5">
        <v>-8.8339652926139999E-3</v>
      </c>
      <c r="MJ377" s="5">
        <v>0.256996569306286</v>
      </c>
      <c r="MK377" s="5">
        <v>-0.33100277235806402</v>
      </c>
      <c r="ML377" s="5">
        <v>-7.8682243137763702E-2</v>
      </c>
      <c r="MM377" s="5">
        <v>0.202060822156053</v>
      </c>
      <c r="MN377" s="5">
        <v>-0.33450346577037099</v>
      </c>
      <c r="MO377" s="5">
        <v>0.34247094761723601</v>
      </c>
      <c r="MP377" s="5">
        <v>-0.32410251023950498</v>
      </c>
      <c r="MQ377" s="5">
        <v>0.37400092167553001</v>
      </c>
      <c r="MR377" s="5">
        <v>-5.29246516809002E-2</v>
      </c>
      <c r="MS377" s="5">
        <v>-1.56329933177147E-2</v>
      </c>
      <c r="MT377" s="5">
        <v>-0.23963157843431801</v>
      </c>
      <c r="MU377" s="5">
        <v>0.262011544482114</v>
      </c>
      <c r="MV377" s="5">
        <v>-0.22898048825278999</v>
      </c>
      <c r="MW377" s="5">
        <v>0.31372675041854398</v>
      </c>
      <c r="MX377" s="5">
        <v>-0.19268397824210601</v>
      </c>
      <c r="MY377" s="5">
        <v>0.24769969380312401</v>
      </c>
      <c r="MZ377" s="5">
        <v>-0.26522076985521997</v>
      </c>
      <c r="NA377" s="5">
        <v>0.379559256895101</v>
      </c>
      <c r="NB377" s="5">
        <v>-0.10218681230940101</v>
      </c>
      <c r="NC377" s="5">
        <v>0.116338417435273</v>
      </c>
      <c r="ND377" s="5">
        <v>3.4565779158513298E-2</v>
      </c>
      <c r="NE377" s="5">
        <v>-0.14709047187416599</v>
      </c>
      <c r="NF377" s="5">
        <v>9.1615439325908501E-2</v>
      </c>
      <c r="NG377" s="5">
        <v>-0.214372040094713</v>
      </c>
      <c r="NH377" s="5">
        <v>5.18524517638312E-2</v>
      </c>
      <c r="NI377" s="5">
        <v>-0.22598537890289899</v>
      </c>
      <c r="NJ377" s="5">
        <v>-0.49124751678843198</v>
      </c>
      <c r="NK377" s="5">
        <v>0.52748802855619403</v>
      </c>
      <c r="NL377" s="5">
        <v>-0.75943335059526396</v>
      </c>
      <c r="NM377" s="5">
        <v>1</v>
      </c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</row>
    <row r="378" spans="1:389" x14ac:dyDescent="0.45">
      <c r="A378" s="4" t="str">
        <f ca="1">"VUT / beta1dist in "&amp;CELL("address",'damages-1990'!$J$190)</f>
        <v>VUT / beta1dist in '[BHM betas v3pd.xlsx]damages-1990'!$J$190</v>
      </c>
      <c r="B378" s="6">
        <v>0.17722995561289001</v>
      </c>
      <c r="C378" s="5">
        <v>0.167709756836803</v>
      </c>
      <c r="D378" s="5">
        <v>0.300198095026389</v>
      </c>
      <c r="E378" s="5">
        <v>0.119962015779387</v>
      </c>
      <c r="F378" s="5">
        <v>0.15780555201129701</v>
      </c>
      <c r="G378" s="5">
        <v>4.5593239568910399E-2</v>
      </c>
      <c r="H378" s="5">
        <v>-7.6811992437304605E-2</v>
      </c>
      <c r="I378" s="5">
        <v>7.16169256816446E-2</v>
      </c>
      <c r="J378" s="5">
        <v>0.30547337925005902</v>
      </c>
      <c r="K378" s="5">
        <v>1.3193111436665199E-2</v>
      </c>
      <c r="L378" s="5">
        <v>0.44743699480492799</v>
      </c>
      <c r="M378" s="5">
        <v>-0.218326118210494</v>
      </c>
      <c r="N378" s="5">
        <v>-0.11819695239993901</v>
      </c>
      <c r="O378" s="5">
        <v>0.180836327435828</v>
      </c>
      <c r="P378" s="5">
        <v>-0.190520025497497</v>
      </c>
      <c r="Q378" s="5">
        <v>0.37751734288746602</v>
      </c>
      <c r="R378" s="5">
        <v>0.19367293193326199</v>
      </c>
      <c r="S378" s="5">
        <v>0.25186440548620398</v>
      </c>
      <c r="T378" s="5">
        <v>-7.0613367222449999E-2</v>
      </c>
      <c r="U378" s="5">
        <v>0.106642234615576</v>
      </c>
      <c r="V378" s="5">
        <v>0.17795570122222601</v>
      </c>
      <c r="W378" s="5">
        <v>0.15398913426240801</v>
      </c>
      <c r="X378" s="5">
        <v>0.16976456913670299</v>
      </c>
      <c r="Y378" s="5">
        <v>0.19329960604531099</v>
      </c>
      <c r="Z378" s="5">
        <v>-3.7936454484820602E-2</v>
      </c>
      <c r="AA378" s="5">
        <v>0.152347643353615</v>
      </c>
      <c r="AB378" s="5">
        <v>0.242126115267849</v>
      </c>
      <c r="AC378" s="5">
        <v>0.10597705381438299</v>
      </c>
      <c r="AD378" s="5">
        <v>0.21165632024886</v>
      </c>
      <c r="AE378" s="5">
        <v>0.165214259788771</v>
      </c>
      <c r="AF378" s="5">
        <v>0.228159046207625</v>
      </c>
      <c r="AG378" s="5">
        <v>5.4675706985703801E-2</v>
      </c>
      <c r="AH378" s="5">
        <v>0.113674826703482</v>
      </c>
      <c r="AI378" s="5">
        <v>5.4506860996391002E-2</v>
      </c>
      <c r="AJ378" s="5">
        <v>0.32314144508741799</v>
      </c>
      <c r="AK378" s="5">
        <v>-3.2529380716411198E-2</v>
      </c>
      <c r="AL378" s="5">
        <v>0.31028426352271499</v>
      </c>
      <c r="AM378" s="5">
        <v>-0.17794975851905501</v>
      </c>
      <c r="AN378" s="5">
        <v>2.4869577972700702E-2</v>
      </c>
      <c r="AO378" s="5">
        <v>9.27710714901058E-2</v>
      </c>
      <c r="AP378" s="5">
        <v>-8.1184705346470598E-2</v>
      </c>
      <c r="AQ378" s="5">
        <v>0.15717036599058501</v>
      </c>
      <c r="AR378" s="5">
        <v>0.29689929215529698</v>
      </c>
      <c r="AS378" s="5">
        <v>-9.4610210598926308E-3</v>
      </c>
      <c r="AT378" s="5">
        <v>0.62575196805015598</v>
      </c>
      <c r="AU378" s="5">
        <v>-0.54253793427693697</v>
      </c>
      <c r="AV378" s="5">
        <v>0.268912616416489</v>
      </c>
      <c r="AW378" s="5">
        <v>0.153840939073983</v>
      </c>
      <c r="AX378" s="5">
        <v>0.263772469244622</v>
      </c>
      <c r="AY378" s="5">
        <v>0.11263525581651</v>
      </c>
      <c r="AZ378" s="5">
        <v>-6.9974789344691202E-2</v>
      </c>
      <c r="BA378" s="5">
        <v>0.21712624855915499</v>
      </c>
      <c r="BB378" s="5">
        <v>0.240311074218336</v>
      </c>
      <c r="BC378" s="5">
        <v>0.19013299296653399</v>
      </c>
      <c r="BD378" s="5">
        <v>0.11299112774214499</v>
      </c>
      <c r="BE378" s="5">
        <v>0.215897267048099</v>
      </c>
      <c r="BF378" s="5">
        <v>0.37506591247556798</v>
      </c>
      <c r="BG378" s="5">
        <v>-5.4245107293670297E-2</v>
      </c>
      <c r="BH378" s="5">
        <v>0.25050429112387101</v>
      </c>
      <c r="BI378" s="5">
        <v>0.15720993042741899</v>
      </c>
      <c r="BJ378" s="5">
        <v>1.44376547771348E-3</v>
      </c>
      <c r="BK378" s="5">
        <v>-0.183961479898853</v>
      </c>
      <c r="BL378" s="5">
        <v>-0.117767326219347</v>
      </c>
      <c r="BM378" s="5">
        <v>0.141413332491687</v>
      </c>
      <c r="BN378" s="5">
        <v>-9.8508898214500207E-2</v>
      </c>
      <c r="BO378" s="5">
        <v>0.201006069868263</v>
      </c>
      <c r="BP378" s="5">
        <v>-6.5990620787953105E-2</v>
      </c>
      <c r="BQ378" s="5">
        <v>0.163102319965194</v>
      </c>
      <c r="BR378" s="5">
        <v>0.20881408281309799</v>
      </c>
      <c r="BS378" s="5">
        <v>0.13876635641471599</v>
      </c>
      <c r="BT378" s="5">
        <v>0.31152711061590099</v>
      </c>
      <c r="BU378" s="5">
        <v>0.10490951980817501</v>
      </c>
      <c r="BV378" s="5">
        <v>0.265612063484715</v>
      </c>
      <c r="BW378" s="5">
        <v>0.12253413537631599</v>
      </c>
      <c r="BX378" s="5">
        <v>0.257703719000274</v>
      </c>
      <c r="BY378" s="5">
        <v>9.7624714864282605E-2</v>
      </c>
      <c r="BZ378" s="5">
        <v>0.192418990062898</v>
      </c>
      <c r="CA378" s="5">
        <v>0.19643224395494899</v>
      </c>
      <c r="CB378" s="5">
        <v>0.14464096511847899</v>
      </c>
      <c r="CC378" s="5">
        <v>0.16509301331553</v>
      </c>
      <c r="CD378" s="5">
        <v>-9.5310884127051704E-3</v>
      </c>
      <c r="CE378" s="5">
        <v>0.23590396348720699</v>
      </c>
      <c r="CF378" s="5">
        <v>1.6035364743323E-2</v>
      </c>
      <c r="CG378" s="5">
        <v>0.22089378373306701</v>
      </c>
      <c r="CH378" s="5">
        <v>0.31302310484010998</v>
      </c>
      <c r="CI378" s="5">
        <v>-0.17566622263682</v>
      </c>
      <c r="CJ378" s="5">
        <v>5.6524971351105201E-2</v>
      </c>
      <c r="CK378" s="5">
        <v>0.166779682793054</v>
      </c>
      <c r="CL378" s="5">
        <v>-2.3274222655934901E-2</v>
      </c>
      <c r="CM378" s="5">
        <v>8.6742887062093696E-2</v>
      </c>
      <c r="CN378" s="5">
        <v>-3.6726263027316998E-2</v>
      </c>
      <c r="CO378" s="5">
        <v>0.12612320577383601</v>
      </c>
      <c r="CP378" s="5">
        <v>0.13124415333953099</v>
      </c>
      <c r="CQ378" s="5">
        <v>0.13667389653429901</v>
      </c>
      <c r="CR378" s="5">
        <v>-0.177719540436754</v>
      </c>
      <c r="CS378" s="5">
        <v>0.36758268856191401</v>
      </c>
      <c r="CT378" s="5">
        <v>-6.8170412777080996E-2</v>
      </c>
      <c r="CU378" s="5">
        <v>0.114137670213853</v>
      </c>
      <c r="CV378" s="5">
        <v>4.7452654082233398E-2</v>
      </c>
      <c r="CW378" s="5">
        <v>0.147116764362103</v>
      </c>
      <c r="CX378" s="5">
        <v>0.37031756411649103</v>
      </c>
      <c r="CY378" s="5">
        <v>-4.01572461579668E-2</v>
      </c>
      <c r="CZ378" s="5">
        <v>0.109844719862717</v>
      </c>
      <c r="DA378" s="5">
        <v>0.24645847349059699</v>
      </c>
      <c r="DB378" s="5">
        <v>0.28231685825698499</v>
      </c>
      <c r="DC378" s="5">
        <v>2.1184931946010802E-2</v>
      </c>
      <c r="DD378" s="5">
        <v>0.11337616519518</v>
      </c>
      <c r="DE378" s="5">
        <v>0.20672756201750001</v>
      </c>
      <c r="DF378" s="5">
        <v>0.174965319812598</v>
      </c>
      <c r="DG378" s="5">
        <v>0.149657401545255</v>
      </c>
      <c r="DH378" s="5">
        <v>0.188551919622196</v>
      </c>
      <c r="DI378" s="5">
        <v>0.102824510447474</v>
      </c>
      <c r="DJ378" s="5">
        <v>-7.2497691975366194E-2</v>
      </c>
      <c r="DK378" s="5">
        <v>0.10301916687459101</v>
      </c>
      <c r="DL378" s="5">
        <v>0.151558067678184</v>
      </c>
      <c r="DM378" s="5">
        <v>0.23315909654528999</v>
      </c>
      <c r="DN378" s="5">
        <v>-0.128008856175411</v>
      </c>
      <c r="DO378" s="5">
        <v>0.10124241042616799</v>
      </c>
      <c r="DP378" s="5">
        <v>0.74457379494739695</v>
      </c>
      <c r="DQ378" s="5">
        <v>-0.57189159753334895</v>
      </c>
      <c r="DR378" s="5">
        <v>5.8037244889832702E-2</v>
      </c>
      <c r="DS378" s="5">
        <v>0.12452310390617501</v>
      </c>
      <c r="DT378" s="5">
        <v>0.22373049640722101</v>
      </c>
      <c r="DU378" s="5">
        <v>-6.5172419746434396E-2</v>
      </c>
      <c r="DV378" s="5">
        <v>0.174913996423229</v>
      </c>
      <c r="DW378" s="5">
        <v>0.13918551748225999</v>
      </c>
      <c r="DX378" s="5">
        <v>-7.3185999840933005E-2</v>
      </c>
      <c r="DY378" s="5">
        <v>0.12948675256524</v>
      </c>
      <c r="DZ378" s="5">
        <v>-6.45474609783388E-2</v>
      </c>
      <c r="EA378" s="5">
        <v>0.158406317504618</v>
      </c>
      <c r="EB378" s="5">
        <v>0.226767989479424</v>
      </c>
      <c r="EC378" s="5">
        <v>0.12564774764047601</v>
      </c>
      <c r="ED378" s="5">
        <v>0.28666967336240401</v>
      </c>
      <c r="EE378" s="5">
        <v>8.6585824752262702E-2</v>
      </c>
      <c r="EF378" s="5">
        <v>-0.19103860208305501</v>
      </c>
      <c r="EG378" s="5">
        <v>0.36845629846175398</v>
      </c>
      <c r="EH378" s="5">
        <v>0.31232666914502899</v>
      </c>
      <c r="EI378" s="5">
        <v>3.2197265262608202E-2</v>
      </c>
      <c r="EJ378" s="5">
        <v>0.36495564938638198</v>
      </c>
      <c r="EK378" s="5">
        <v>-8.3248218912091495E-3</v>
      </c>
      <c r="EL378" s="5">
        <v>0.26217105537785801</v>
      </c>
      <c r="EM378" s="5">
        <v>0.104569732466454</v>
      </c>
      <c r="EN378" s="5">
        <v>0.24848034029277499</v>
      </c>
      <c r="EO378" s="5">
        <v>-6.1416189870665702E-2</v>
      </c>
      <c r="EP378" s="5">
        <v>6.7449265541826399E-3</v>
      </c>
      <c r="EQ378" s="5">
        <v>0.152290265479781</v>
      </c>
      <c r="ER378" s="5">
        <v>0.31939131172361601</v>
      </c>
      <c r="ES378" s="5">
        <v>1.6317595129490998E-2</v>
      </c>
      <c r="ET378" s="5">
        <v>0.16737903496315101</v>
      </c>
      <c r="EU378" s="5">
        <v>8.1232454734607495E-2</v>
      </c>
      <c r="EV378" s="5">
        <v>0.141205300816928</v>
      </c>
      <c r="EW378" s="5">
        <v>0.14043111433373801</v>
      </c>
      <c r="EX378" s="5">
        <v>0.21025624543063301</v>
      </c>
      <c r="EY378" s="5">
        <v>9.5508376064628708E-3</v>
      </c>
      <c r="EZ378" s="5">
        <v>0.27051175551254703</v>
      </c>
      <c r="FA378" s="5">
        <v>5.8723582993968501E-2</v>
      </c>
      <c r="FB378" s="5">
        <v>9.5418459562199603E-2</v>
      </c>
      <c r="FC378" s="5">
        <v>8.7600850055263996E-2</v>
      </c>
      <c r="FD378" s="5">
        <v>7.6178946748170606E-2</v>
      </c>
      <c r="FE378" s="5">
        <v>0.157994000600822</v>
      </c>
      <c r="FF378" s="5">
        <v>8.1066159488541303E-2</v>
      </c>
      <c r="FG378" s="5">
        <v>6.3102409155174094E-2</v>
      </c>
      <c r="FH378" s="5">
        <v>0.45328988872715198</v>
      </c>
      <c r="FI378" s="5">
        <v>-0.179864742719969</v>
      </c>
      <c r="FJ378" s="5">
        <v>0.28044555539669003</v>
      </c>
      <c r="FK378" s="5">
        <v>9.8009668384760301E-2</v>
      </c>
      <c r="FL378" s="5">
        <v>-1.7543139564419601E-2</v>
      </c>
      <c r="FM378" s="5">
        <v>7.1181494910387194E-2</v>
      </c>
      <c r="FN378" s="5">
        <v>0.31446194010121498</v>
      </c>
      <c r="FO378" s="5">
        <v>-1.49084521073391E-2</v>
      </c>
      <c r="FP378" s="5">
        <v>0.31351896254693501</v>
      </c>
      <c r="FQ378" s="5">
        <v>-5.9229475462496198E-2</v>
      </c>
      <c r="FR378" s="5">
        <v>9.0010201564513198E-2</v>
      </c>
      <c r="FS378" s="5">
        <v>-6.9712823978315505E-2</v>
      </c>
      <c r="FT378" s="5">
        <v>0.27614087172326302</v>
      </c>
      <c r="FU378" s="5">
        <v>2.1178734073637101E-2</v>
      </c>
      <c r="FV378" s="5">
        <v>0.18887882172354201</v>
      </c>
      <c r="FW378" s="5">
        <v>3.3139327629614398E-2</v>
      </c>
      <c r="FX378" s="5">
        <v>8.9674617845687296E-2</v>
      </c>
      <c r="FY378" s="5">
        <v>0.118831417069794</v>
      </c>
      <c r="FZ378" s="5">
        <v>0.30125769029025601</v>
      </c>
      <c r="GA378" s="5">
        <v>1.5882431059742699E-2</v>
      </c>
      <c r="GB378" s="5">
        <v>5.8148015373156101E-2</v>
      </c>
      <c r="GC378" s="5">
        <v>0.19700780913719901</v>
      </c>
      <c r="GD378" s="5">
        <v>-8.8261317513490797E-2</v>
      </c>
      <c r="GE378" s="5">
        <v>0.13960005339110701</v>
      </c>
      <c r="GF378" s="5">
        <v>0.14657969909016799</v>
      </c>
      <c r="GG378" s="5">
        <v>0.22481114617557399</v>
      </c>
      <c r="GH378" s="5">
        <v>-9.3828234190245594E-2</v>
      </c>
      <c r="GI378" s="5">
        <v>2.5398583650056001E-2</v>
      </c>
      <c r="GJ378" s="5">
        <v>0.24007309681324901</v>
      </c>
      <c r="GK378" s="5">
        <v>3.5615146691028797E-2</v>
      </c>
      <c r="GL378" s="5">
        <v>-9.0807130331596E-2</v>
      </c>
      <c r="GM378" s="5">
        <v>0.24973811876878499</v>
      </c>
      <c r="GN378" s="5">
        <v>0.184491741510343</v>
      </c>
      <c r="GO378" s="5">
        <v>3.7545254333199503E-2</v>
      </c>
      <c r="GP378" s="5">
        <v>0.32587995624523902</v>
      </c>
      <c r="GQ378" s="5">
        <v>-5.07106653297019E-2</v>
      </c>
      <c r="GR378" s="5">
        <v>0.28225131570296702</v>
      </c>
      <c r="GS378" s="5">
        <v>-4.8406633629583397E-2</v>
      </c>
      <c r="GT378" s="5">
        <v>0.211962002842701</v>
      </c>
      <c r="GU378" s="5">
        <v>5.1861649363179801E-2</v>
      </c>
      <c r="GV378" s="5">
        <v>0.24713924440684301</v>
      </c>
      <c r="GW378" s="5">
        <v>8.8692084677556904E-2</v>
      </c>
      <c r="GX378" s="5">
        <v>0.36341417458796499</v>
      </c>
      <c r="GY378" s="5">
        <v>-0.130605519068031</v>
      </c>
      <c r="GZ378" s="5">
        <v>-0.111543207715599</v>
      </c>
      <c r="HA378" s="5">
        <v>0.13177762597753501</v>
      </c>
      <c r="HB378" s="5">
        <v>0.227855905183312</v>
      </c>
      <c r="HC378" s="5">
        <v>0.17284900093463201</v>
      </c>
      <c r="HD378" s="5">
        <v>0.14355125606208499</v>
      </c>
      <c r="HE378" s="5">
        <v>0.24773051530152801</v>
      </c>
      <c r="HF378" s="5">
        <v>-4.7299810800059697E-2</v>
      </c>
      <c r="HG378" s="5">
        <v>0.101102556081196</v>
      </c>
      <c r="HH378" s="5">
        <v>-4.5093794112780097E-2</v>
      </c>
      <c r="HI378" s="5">
        <v>0.14709164653583401</v>
      </c>
      <c r="HJ378" s="5">
        <v>-6.7423081688084099E-2</v>
      </c>
      <c r="HK378" s="5">
        <v>0.109288056271797</v>
      </c>
      <c r="HL378" s="5">
        <v>0.23405365656028801</v>
      </c>
      <c r="HM378" s="5">
        <v>0.11976439112769099</v>
      </c>
      <c r="HN378" s="5">
        <v>3.1188523463105002E-2</v>
      </c>
      <c r="HO378" s="5">
        <v>0.129871625655301</v>
      </c>
      <c r="HP378" s="5">
        <v>0.46313123947348001</v>
      </c>
      <c r="HQ378" s="5">
        <v>-0.10271606284944899</v>
      </c>
      <c r="HR378" s="5">
        <v>0.39398147896302499</v>
      </c>
      <c r="HS378" s="5">
        <v>-3.5918048228384299E-2</v>
      </c>
      <c r="HT378" s="5">
        <v>8.9090616679968496E-2</v>
      </c>
      <c r="HU378" s="5">
        <v>7.3166881445148393E-2</v>
      </c>
      <c r="HV378" s="5">
        <v>0.29305988671127198</v>
      </c>
      <c r="HW378" s="5">
        <v>7.5548507102783602E-2</v>
      </c>
      <c r="HX378" s="5">
        <v>0.32997495392029202</v>
      </c>
      <c r="HY378" s="5">
        <v>1.5684123041985801E-2</v>
      </c>
      <c r="HZ378" s="5">
        <v>-4.78261064495775E-3</v>
      </c>
      <c r="IA378" s="5">
        <v>9.4608492524375101E-2</v>
      </c>
      <c r="IB378" s="5">
        <v>-0.106212045911696</v>
      </c>
      <c r="IC378" s="5">
        <v>5.35002561047647E-2</v>
      </c>
      <c r="ID378" s="5">
        <v>0.28837119196697403</v>
      </c>
      <c r="IE378" s="5">
        <v>0.122412642805294</v>
      </c>
      <c r="IF378" s="5">
        <v>0.32709655996482401</v>
      </c>
      <c r="IG378" s="5">
        <v>4.0503212836259898E-2</v>
      </c>
      <c r="IH378" s="5">
        <v>-0.173265902326767</v>
      </c>
      <c r="II378" s="5">
        <v>0.35375219693261201</v>
      </c>
      <c r="IJ378" s="5">
        <v>0.311715988444286</v>
      </c>
      <c r="IK378" s="5">
        <v>-0.18377522907955299</v>
      </c>
      <c r="IL378" s="5">
        <v>0.26904601083528101</v>
      </c>
      <c r="IM378" s="5">
        <v>0.114653916590711</v>
      </c>
      <c r="IN378" s="5">
        <v>0.30103347235307099</v>
      </c>
      <c r="IO378" s="5">
        <v>8.4977535778496302E-2</v>
      </c>
      <c r="IP378" s="5">
        <v>0.31674508011411301</v>
      </c>
      <c r="IQ378" s="5">
        <v>0.101288586241845</v>
      </c>
      <c r="IR378" s="5">
        <v>0.71496615490689797</v>
      </c>
      <c r="IS378" s="5">
        <v>-0.560220772270554</v>
      </c>
      <c r="IT378" s="5">
        <v>0.27361021888992398</v>
      </c>
      <c r="IU378" s="5">
        <v>8.5960585274274096E-2</v>
      </c>
      <c r="IV378" s="5">
        <v>0.24927227946879801</v>
      </c>
      <c r="IW378" s="5">
        <v>0.103673521209455</v>
      </c>
      <c r="IX378" s="5">
        <v>0.156504906629894</v>
      </c>
      <c r="IY378" s="5">
        <v>0.14447428872472801</v>
      </c>
      <c r="IZ378" s="5">
        <v>-5.4153335521391302E-2</v>
      </c>
      <c r="JA378" s="5">
        <v>0.151498712715983</v>
      </c>
      <c r="JB378" s="5">
        <v>-0.19411187515398001</v>
      </c>
      <c r="JC378" s="5">
        <v>0.174050114501417</v>
      </c>
      <c r="JD378" s="5">
        <v>0.20751490993915001</v>
      </c>
      <c r="JE378" s="5">
        <v>0.18978844173142501</v>
      </c>
      <c r="JF378" s="5">
        <v>2.3377265213188302E-2</v>
      </c>
      <c r="JG378" s="5">
        <v>0.140550224420152</v>
      </c>
      <c r="JH378" s="5">
        <v>0.23077012444809</v>
      </c>
      <c r="JI378" s="5">
        <v>-0.19308622307175299</v>
      </c>
      <c r="JJ378" s="5">
        <v>0.32675011301511497</v>
      </c>
      <c r="JK378" s="5">
        <v>7.6925868096523797E-2</v>
      </c>
      <c r="JL378" s="5">
        <v>0.25394791800885103</v>
      </c>
      <c r="JM378" s="5">
        <v>9.6070593150209604E-2</v>
      </c>
      <c r="JN378" s="5">
        <v>0.12700336786581701</v>
      </c>
      <c r="JO378" s="5">
        <v>0.137914378278858</v>
      </c>
      <c r="JP378" s="5">
        <v>0.19284147110213901</v>
      </c>
      <c r="JQ378" s="5">
        <v>0.27743417992260999</v>
      </c>
      <c r="JR378" s="5">
        <v>0.46149429220952598</v>
      </c>
      <c r="JS378" s="5">
        <v>-0.121931160824456</v>
      </c>
      <c r="JT378" s="5">
        <v>0.46936007064331597</v>
      </c>
      <c r="JU378" s="5">
        <v>-0.25469924894768098</v>
      </c>
      <c r="JV378" s="5">
        <v>0.52154344332191205</v>
      </c>
      <c r="JW378" s="5">
        <v>-0.23251892139625599</v>
      </c>
      <c r="JX378" s="5">
        <v>2.0408320841714501E-2</v>
      </c>
      <c r="JY378" s="5">
        <v>4.72615994639832E-2</v>
      </c>
      <c r="JZ378" s="5">
        <v>-8.3753872390095796E-2</v>
      </c>
      <c r="KA378" s="5">
        <v>0.267301848777032</v>
      </c>
      <c r="KB378" s="5">
        <v>-0.11681903035233999</v>
      </c>
      <c r="KC378" s="5">
        <v>0.17030936908264199</v>
      </c>
      <c r="KD378" s="5">
        <v>0.13526812647883399</v>
      </c>
      <c r="KE378" s="5">
        <v>0.13391376058167001</v>
      </c>
      <c r="KF378" s="5">
        <v>0.42347758505608002</v>
      </c>
      <c r="KG378" s="5">
        <v>-0.26303101843946203</v>
      </c>
      <c r="KH378" s="5">
        <v>0.27700906490995703</v>
      </c>
      <c r="KI378" s="5">
        <v>1.4596653652516001E-2</v>
      </c>
      <c r="KJ378" s="5">
        <v>0.30758911216961599</v>
      </c>
      <c r="KK378" s="5">
        <v>-1.2991935561630299E-2</v>
      </c>
      <c r="KL378" s="5">
        <v>0.39150718430204501</v>
      </c>
      <c r="KM378" s="5">
        <v>-0.21349047980359001</v>
      </c>
      <c r="KN378" s="5">
        <v>1.3493038180635601E-2</v>
      </c>
      <c r="KO378" s="5">
        <v>0.123578410421548</v>
      </c>
      <c r="KP378" s="5">
        <v>-0.189253789896557</v>
      </c>
      <c r="KQ378" s="5">
        <v>0.14826468288932501</v>
      </c>
      <c r="KR378" s="5">
        <v>0.21590836004166</v>
      </c>
      <c r="KS378" s="5">
        <v>0.128924457601506</v>
      </c>
      <c r="KT378" s="5">
        <v>0.26045410827145998</v>
      </c>
      <c r="KU378" s="5">
        <v>8.87403717344767E-2</v>
      </c>
      <c r="KV378" s="5">
        <v>0.147715644925213</v>
      </c>
      <c r="KW378" s="5">
        <v>0.23302804850675099</v>
      </c>
      <c r="KX378" s="5">
        <v>0.32660810396228701</v>
      </c>
      <c r="KY378" s="5">
        <v>2.9425213064756602E-2</v>
      </c>
      <c r="KZ378" s="5">
        <v>0.52039629193439696</v>
      </c>
      <c r="LA378" s="5">
        <v>-0.29336504943951602</v>
      </c>
      <c r="LB378" s="5">
        <v>0.301346518751479</v>
      </c>
      <c r="LC378" s="5">
        <v>5.3258955507381502E-2</v>
      </c>
      <c r="LD378" s="5">
        <v>0.26281534715265598</v>
      </c>
      <c r="LE378" s="5">
        <v>5.6584663060880003E-2</v>
      </c>
      <c r="LF378" s="5">
        <v>9.52868949510699E-2</v>
      </c>
      <c r="LG378" s="5">
        <v>0.105232536092758</v>
      </c>
      <c r="LH378" s="5">
        <v>0.27954460358146999</v>
      </c>
      <c r="LI378" s="5">
        <v>0.10742298688151999</v>
      </c>
      <c r="LJ378" s="5">
        <v>0.10165962025125599</v>
      </c>
      <c r="LK378" s="5">
        <v>6.9930386869485606E-2</v>
      </c>
      <c r="LL378" s="5">
        <v>0.15637947325846999</v>
      </c>
      <c r="LM378" s="5">
        <v>0.17300390340697799</v>
      </c>
      <c r="LN378" s="5">
        <v>0.17409239592947801</v>
      </c>
      <c r="LO378" s="5">
        <v>0.13864771586760599</v>
      </c>
      <c r="LP378" s="5">
        <v>0.16910900389124001</v>
      </c>
      <c r="LQ378" s="5">
        <v>9.0245473772941495E-2</v>
      </c>
      <c r="LR378" s="5">
        <v>-2.1533867706898901E-3</v>
      </c>
      <c r="LS378" s="5">
        <v>6.0844707257140897E-2</v>
      </c>
      <c r="LT378" s="5">
        <v>-6.2610531721721202E-3</v>
      </c>
      <c r="LU378" s="5">
        <v>0.10506736291048401</v>
      </c>
      <c r="LV378" s="5">
        <v>-0.125444830647813</v>
      </c>
      <c r="LW378" s="5">
        <v>9.3862757715980905E-2</v>
      </c>
      <c r="LX378" s="5">
        <v>0.25556810574955202</v>
      </c>
      <c r="LY378" s="5">
        <v>-5.0993020385919499E-3</v>
      </c>
      <c r="LZ378" s="5">
        <v>0.26879061017806499</v>
      </c>
      <c r="MA378" s="5">
        <v>9.9207691787378094E-2</v>
      </c>
      <c r="MB378" s="5">
        <v>0.23318772661932199</v>
      </c>
      <c r="MC378" s="5">
        <v>0.116757949584927</v>
      </c>
      <c r="MD378" s="5">
        <v>0.33134075483784797</v>
      </c>
      <c r="ME378" s="5">
        <v>-9.5610737750880498E-2</v>
      </c>
      <c r="MF378" s="5">
        <v>-7.6758896955577804E-2</v>
      </c>
      <c r="MG378" s="5">
        <v>2.97183440649967E-2</v>
      </c>
      <c r="MH378" s="5">
        <v>0.27693696673658902</v>
      </c>
      <c r="MI378" s="5">
        <v>2.0064569411470098E-2</v>
      </c>
      <c r="MJ378" s="5">
        <v>0.38881353656148998</v>
      </c>
      <c r="MK378" s="5">
        <v>-0.225490713548889</v>
      </c>
      <c r="ML378" s="5">
        <v>0.347030234650619</v>
      </c>
      <c r="MM378" s="5">
        <v>-0.230978922716959</v>
      </c>
      <c r="MN378" s="5">
        <v>-6.7702551874253794E-2</v>
      </c>
      <c r="MO378" s="5">
        <v>0.23510260202633301</v>
      </c>
      <c r="MP378" s="5">
        <v>0.33781322845141698</v>
      </c>
      <c r="MQ378" s="5">
        <v>-0.106083931641187</v>
      </c>
      <c r="MR378" s="5">
        <v>0.13291553928164801</v>
      </c>
      <c r="MS378" s="5">
        <v>8.0198762110941596E-2</v>
      </c>
      <c r="MT378" s="5">
        <v>-4.72938460577268E-3</v>
      </c>
      <c r="MU378" s="5">
        <v>9.18866980199078E-2</v>
      </c>
      <c r="MV378" s="5">
        <v>0.40532039808764903</v>
      </c>
      <c r="MW378" s="5">
        <v>-0.12965665963940201</v>
      </c>
      <c r="MX378" s="5">
        <v>0.17829950230337999</v>
      </c>
      <c r="MY378" s="5">
        <v>0.21602759287426401</v>
      </c>
      <c r="MZ378" s="5">
        <v>0.133080538727397</v>
      </c>
      <c r="NA378" s="5">
        <v>0.15019462133249301</v>
      </c>
      <c r="NB378" s="5">
        <v>-6.5902777403736595E-2</v>
      </c>
      <c r="NC378" s="5">
        <v>0.183248539687343</v>
      </c>
      <c r="ND378" s="5">
        <v>0.51501704450091501</v>
      </c>
      <c r="NE378" s="5">
        <v>-0.30798950356325699</v>
      </c>
      <c r="NF378" s="5">
        <v>-1.2543873081610001E-2</v>
      </c>
      <c r="NG378" s="5">
        <v>0.12157151836315799</v>
      </c>
      <c r="NH378" s="5">
        <v>0.21075006419758699</v>
      </c>
      <c r="NI378" s="5">
        <v>0.103920159982195</v>
      </c>
      <c r="NJ378" s="5">
        <v>0.13965961389107201</v>
      </c>
      <c r="NK378" s="5">
        <v>0.174561906452365</v>
      </c>
      <c r="NL378" s="5">
        <v>0.29537944623050599</v>
      </c>
      <c r="NM378" s="5">
        <v>-5.3588252512011799E-3</v>
      </c>
      <c r="NN378" s="5">
        <v>1</v>
      </c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</row>
    <row r="379" spans="1:389" x14ac:dyDescent="0.45">
      <c r="A379" s="4" t="str">
        <f ca="1">"VUT / beta2dist in "&amp;CELL("address",'damages-1990'!$K$190)</f>
        <v>VUT / beta2dist in '[BHM betas v3pd.xlsx]damages-1990'!$K$190</v>
      </c>
      <c r="B379" s="6">
        <v>-5.6246349483204901E-2</v>
      </c>
      <c r="C379" s="5">
        <v>5.69860598865745E-2</v>
      </c>
      <c r="D379" s="5">
        <v>-5.4631852834395402E-2</v>
      </c>
      <c r="E379" s="5">
        <v>-3.4102188801406703E-2</v>
      </c>
      <c r="F379" s="5">
        <v>-2.1156590920008701E-2</v>
      </c>
      <c r="G379" s="5">
        <v>2.8840742652674101E-2</v>
      </c>
      <c r="H379" s="5">
        <v>1.5994632058846801E-2</v>
      </c>
      <c r="I379" s="5">
        <v>-4.5584667907103603E-2</v>
      </c>
      <c r="J379" s="5">
        <v>-9.3308332550472398E-2</v>
      </c>
      <c r="K379" s="5">
        <v>0.10158302582812501</v>
      </c>
      <c r="L379" s="5">
        <v>-0.25634828811191201</v>
      </c>
      <c r="M379" s="5">
        <v>0.34794838863239802</v>
      </c>
      <c r="N379" s="5">
        <v>0.117656751507902</v>
      </c>
      <c r="O379" s="5">
        <v>-0.15413140056180999</v>
      </c>
      <c r="P379" s="5">
        <v>0.275888283879764</v>
      </c>
      <c r="Q379" s="5">
        <v>-0.28281788052225998</v>
      </c>
      <c r="R379" s="5">
        <v>0.18667317735414901</v>
      </c>
      <c r="S379" s="5">
        <v>-0.33487725395033702</v>
      </c>
      <c r="T379" s="5">
        <v>-3.4452581760088197E-2</v>
      </c>
      <c r="U379" s="5">
        <v>2.1611395094475998E-2</v>
      </c>
      <c r="V379" s="5">
        <v>-6.9749435157934296E-3</v>
      </c>
      <c r="W379" s="5">
        <v>-2.33926317706626E-2</v>
      </c>
      <c r="X379" s="5">
        <v>0.108369653529495</v>
      </c>
      <c r="Y379" s="5">
        <v>-0.14795604487262501</v>
      </c>
      <c r="Z379" s="5">
        <v>6.3962016362179394E-2</v>
      </c>
      <c r="AA379" s="5">
        <v>-8.0678529249123193E-2</v>
      </c>
      <c r="AB379" s="5">
        <v>-4.11942041159883E-2</v>
      </c>
      <c r="AC379" s="5">
        <v>-4.2354147573115397E-2</v>
      </c>
      <c r="AD379" s="5">
        <v>-4.60160088184123E-2</v>
      </c>
      <c r="AE379" s="5">
        <v>-5.8779118295974299E-2</v>
      </c>
      <c r="AF379" s="5">
        <v>-1.7930277988046701E-2</v>
      </c>
      <c r="AG379" s="5">
        <v>1.85803896326973E-2</v>
      </c>
      <c r="AH379" s="5">
        <v>-2.2941673335684198E-2</v>
      </c>
      <c r="AI379" s="5">
        <v>3.4874253463022697E-2</v>
      </c>
      <c r="AJ379" s="5">
        <v>-0.122244459599624</v>
      </c>
      <c r="AK379" s="5">
        <v>0.146510556979009</v>
      </c>
      <c r="AL379" s="5">
        <v>1.061458628369E-3</v>
      </c>
      <c r="AM379" s="5">
        <v>3.08350570802105E-2</v>
      </c>
      <c r="AN379" s="5">
        <v>-2.97483983385201E-2</v>
      </c>
      <c r="AO379" s="5">
        <v>2.9401492874642401E-2</v>
      </c>
      <c r="AP379" s="5">
        <v>7.8906983054998301E-3</v>
      </c>
      <c r="AQ379" s="5">
        <v>-6.0614296549196103E-2</v>
      </c>
      <c r="AR379" s="5">
        <v>-1.44553112519908E-2</v>
      </c>
      <c r="AS379" s="5">
        <v>-3.92038870451085E-2</v>
      </c>
      <c r="AT379" s="5">
        <v>-0.426885289327327</v>
      </c>
      <c r="AU379" s="5">
        <v>0.52952964022180504</v>
      </c>
      <c r="AV379" s="5">
        <v>9.1814301040336402E-2</v>
      </c>
      <c r="AW379" s="5">
        <v>-0.21894457122533401</v>
      </c>
      <c r="AX379" s="5">
        <v>6.1296530363461901E-2</v>
      </c>
      <c r="AY379" s="5">
        <v>-0.13746385661720101</v>
      </c>
      <c r="AZ379" s="5">
        <v>0.13194652477275401</v>
      </c>
      <c r="BA379" s="5">
        <v>-0.10877494880883</v>
      </c>
      <c r="BB379" s="5">
        <v>1.86265627163207E-2</v>
      </c>
      <c r="BC379" s="5">
        <v>-0.11400541863684099</v>
      </c>
      <c r="BD379" s="5">
        <v>-3.7506789183124903E-2</v>
      </c>
      <c r="BE379" s="5">
        <v>5.7817832639877097E-3</v>
      </c>
      <c r="BF379" s="5">
        <v>-0.21536830896694201</v>
      </c>
      <c r="BG379" s="5">
        <v>0.171812667285523</v>
      </c>
      <c r="BH379" s="5">
        <v>-2.0818989700739299E-2</v>
      </c>
      <c r="BI379" s="5">
        <v>-7.0473991702429697E-2</v>
      </c>
      <c r="BJ379" s="5">
        <v>-0.27256626155145203</v>
      </c>
      <c r="BK379" s="5">
        <v>0.34756090633661302</v>
      </c>
      <c r="BL379" s="5">
        <v>1.1047859409362501E-2</v>
      </c>
      <c r="BM379" s="5">
        <v>-4.1571878510834999E-2</v>
      </c>
      <c r="BN379" s="5">
        <v>0.128341730813055</v>
      </c>
      <c r="BO379" s="5">
        <v>-0.175699390787384</v>
      </c>
      <c r="BP379" s="5">
        <v>1.5191024719806399E-2</v>
      </c>
      <c r="BQ379" s="5">
        <v>-4.5834700425285702E-2</v>
      </c>
      <c r="BR379" s="5">
        <v>-2.82844584215368E-2</v>
      </c>
      <c r="BS379" s="5">
        <v>-4.5362936253146802E-2</v>
      </c>
      <c r="BT379" s="5">
        <v>-2.7206734217032801E-2</v>
      </c>
      <c r="BU379" s="5">
        <v>-6.2115520597530401E-2</v>
      </c>
      <c r="BV379" s="5">
        <v>4.1777976979490402E-3</v>
      </c>
      <c r="BW379" s="5">
        <v>-6.9448044322223207E-2</v>
      </c>
      <c r="BX379" s="5">
        <v>4.3888865935042898E-3</v>
      </c>
      <c r="BY379" s="5">
        <v>-7.4403350735285506E-2</v>
      </c>
      <c r="BZ379" s="5">
        <v>9.7977975095667205E-2</v>
      </c>
      <c r="CA379" s="5">
        <v>-0.20308924821044499</v>
      </c>
      <c r="CB379" s="5">
        <v>0.17349837186643799</v>
      </c>
      <c r="CC379" s="5">
        <v>-0.29217551954478799</v>
      </c>
      <c r="CD379" s="5">
        <v>0.10326927498862</v>
      </c>
      <c r="CE379" s="5">
        <v>-0.145160637509821</v>
      </c>
      <c r="CF379" s="5">
        <v>0.17718132714932699</v>
      </c>
      <c r="CG379" s="5">
        <v>-0.22673110275667999</v>
      </c>
      <c r="CH379" s="5">
        <v>-8.9809862384954992E-3</v>
      </c>
      <c r="CI379" s="5">
        <v>2.3692825322237501E-2</v>
      </c>
      <c r="CJ379" s="5">
        <v>0.21030950026307499</v>
      </c>
      <c r="CK379" s="5">
        <v>-0.24085307964938901</v>
      </c>
      <c r="CL379" s="5">
        <v>-2.8572684091365898E-2</v>
      </c>
      <c r="CM379" s="5">
        <v>2.39669398862619E-2</v>
      </c>
      <c r="CN379" s="5">
        <v>2.8142671731485901E-2</v>
      </c>
      <c r="CO379" s="5">
        <v>-4.2867855186732799E-2</v>
      </c>
      <c r="CP379" s="5">
        <v>-4.5390889186855403E-2</v>
      </c>
      <c r="CQ379" s="5">
        <v>-1.22335933112196E-2</v>
      </c>
      <c r="CR379" s="5">
        <v>0.285743259551486</v>
      </c>
      <c r="CS379" s="5">
        <v>-0.288735797082323</v>
      </c>
      <c r="CT379" s="5">
        <v>3.4818866014402802E-2</v>
      </c>
      <c r="CU379" s="5">
        <v>-4.9439405071318603E-2</v>
      </c>
      <c r="CV379" s="5">
        <v>0.152020736760797</v>
      </c>
      <c r="CW379" s="5">
        <v>-0.13963374971856801</v>
      </c>
      <c r="CX379" s="5">
        <v>-0.11384116806767899</v>
      </c>
      <c r="CY379" s="5">
        <v>9.3678407169051695E-2</v>
      </c>
      <c r="CZ379" s="5">
        <v>0.178512976386316</v>
      </c>
      <c r="DA379" s="5">
        <v>-0.27112374767830499</v>
      </c>
      <c r="DB379" s="5">
        <v>2.6660475575729502E-2</v>
      </c>
      <c r="DC379" s="5">
        <v>-2.15895312648587E-2</v>
      </c>
      <c r="DD379" s="5">
        <v>-1.9506907381176702E-2</v>
      </c>
      <c r="DE379" s="5">
        <v>-5.1612253673994697E-2</v>
      </c>
      <c r="DF379" s="5">
        <v>4.3880710001161602E-2</v>
      </c>
      <c r="DG379" s="5">
        <v>-9.7481533877348703E-2</v>
      </c>
      <c r="DH379" s="5">
        <v>-7.7591255795713297E-3</v>
      </c>
      <c r="DI379" s="5">
        <v>-1.55374015773915E-2</v>
      </c>
      <c r="DJ379" s="5">
        <v>-2.5303271405153101E-2</v>
      </c>
      <c r="DK379" s="5">
        <v>-6.6878126517683897E-3</v>
      </c>
      <c r="DL379" s="5">
        <v>3.7584304445491601E-2</v>
      </c>
      <c r="DM379" s="5">
        <v>-0.11208924390026601</v>
      </c>
      <c r="DN379" s="5">
        <v>-4.6012836521368498E-2</v>
      </c>
      <c r="DO379" s="5">
        <v>2.9933548030308399E-2</v>
      </c>
      <c r="DP379" s="5">
        <v>-0.53539357346771199</v>
      </c>
      <c r="DQ379" s="5">
        <v>0.64008801865839504</v>
      </c>
      <c r="DR379" s="5">
        <v>2.9737421344964099E-2</v>
      </c>
      <c r="DS379" s="5">
        <v>-4.3694274155628203E-2</v>
      </c>
      <c r="DT379" s="5">
        <v>-9.2565317422176704E-2</v>
      </c>
      <c r="DU379" s="5">
        <v>0.111706613781896</v>
      </c>
      <c r="DV379" s="5">
        <v>4.84173530195827E-2</v>
      </c>
      <c r="DW379" s="5">
        <v>-0.12094126305066499</v>
      </c>
      <c r="DX379" s="5">
        <v>4.2126778395027202E-2</v>
      </c>
      <c r="DY379" s="5">
        <v>-5.5791750377158902E-2</v>
      </c>
      <c r="DZ379" s="5">
        <v>6.2470737367363201E-2</v>
      </c>
      <c r="EA379" s="5">
        <v>-9.5636262790668294E-2</v>
      </c>
      <c r="EB379" s="5">
        <v>-2.8747848504941501E-2</v>
      </c>
      <c r="EC379" s="5">
        <v>-4.8001795433931502E-2</v>
      </c>
      <c r="ED379" s="5">
        <v>-6.6547904563099003E-2</v>
      </c>
      <c r="EE379" s="5">
        <v>-1.04688879556965E-3</v>
      </c>
      <c r="EF379" s="5">
        <v>0.271891645097184</v>
      </c>
      <c r="EG379" s="5">
        <v>-0.274953690749005</v>
      </c>
      <c r="EH379" s="5">
        <v>-0.101308221918258</v>
      </c>
      <c r="EI379" s="5">
        <v>7.3290724920780898E-2</v>
      </c>
      <c r="EJ379" s="5">
        <v>-0.159148818782821</v>
      </c>
      <c r="EK379" s="5">
        <v>0.119915975329274</v>
      </c>
      <c r="EL379" s="5">
        <v>5.44465762876533E-2</v>
      </c>
      <c r="EM379" s="5">
        <v>-0.14497364582820299</v>
      </c>
      <c r="EN379" s="5">
        <v>2.5527161253208201E-3</v>
      </c>
      <c r="EO379" s="5">
        <v>1.8263996778609199E-2</v>
      </c>
      <c r="EP379" s="5">
        <v>7.5261490407105405E-2</v>
      </c>
      <c r="EQ379" s="5">
        <v>-5.96362166907876E-2</v>
      </c>
      <c r="ER379" s="5">
        <v>-4.6658089607657403E-2</v>
      </c>
      <c r="ES379" s="5">
        <v>-1.6595745350602601E-2</v>
      </c>
      <c r="ET379" s="5">
        <v>6.0300982707610598E-2</v>
      </c>
      <c r="EU379" s="5">
        <v>-6.09267896500564E-2</v>
      </c>
      <c r="EV379" s="5">
        <v>9.6547452552161295E-2</v>
      </c>
      <c r="EW379" s="5">
        <v>-0.13956129093261099</v>
      </c>
      <c r="EX379" s="5">
        <v>6.59833482795779E-2</v>
      </c>
      <c r="EY379" s="5">
        <v>-5.7078339635613498E-2</v>
      </c>
      <c r="EZ379" s="5">
        <v>-3.1800600449746599E-2</v>
      </c>
      <c r="FA379" s="5">
        <v>-2.32550559214935E-2</v>
      </c>
      <c r="FB379" s="5">
        <v>-1.32791655357679E-3</v>
      </c>
      <c r="FC379" s="5">
        <v>2.8105799707630898E-3</v>
      </c>
      <c r="FD379" s="5">
        <v>0.20512463790348601</v>
      </c>
      <c r="FE379" s="5">
        <v>-0.22304032486563499</v>
      </c>
      <c r="FF379" s="5">
        <v>-2.4116037325104599E-2</v>
      </c>
      <c r="FG379" s="5">
        <v>3.4700443228944E-2</v>
      </c>
      <c r="FH379" s="5">
        <v>-9.7023338176924406E-2</v>
      </c>
      <c r="FI379" s="5">
        <v>6.9910378573772997E-2</v>
      </c>
      <c r="FJ379" s="5">
        <v>-6.0735231275737503E-2</v>
      </c>
      <c r="FK379" s="5">
        <v>3.4212886506840103E-2</v>
      </c>
      <c r="FL379" s="5">
        <v>2.3245705450714499E-2</v>
      </c>
      <c r="FM379" s="5">
        <v>-2.44212721859004E-2</v>
      </c>
      <c r="FN379" s="5">
        <v>-0.15348790878389501</v>
      </c>
      <c r="FO379" s="5">
        <v>0.19388409371868701</v>
      </c>
      <c r="FP379" s="5">
        <v>-5.8740285985648101E-2</v>
      </c>
      <c r="FQ379" s="5">
        <v>9.6063785732983603E-2</v>
      </c>
      <c r="FR379" s="5">
        <v>-0.147765489467135</v>
      </c>
      <c r="FS379" s="5">
        <v>5.6134274890158799E-2</v>
      </c>
      <c r="FT379" s="5">
        <v>4.3713865338877403E-2</v>
      </c>
      <c r="FU379" s="5">
        <v>-5.4047858796208402E-2</v>
      </c>
      <c r="FV379" s="5">
        <v>-3.4052338942161899E-4</v>
      </c>
      <c r="FW379" s="5">
        <v>8.9533161212985001E-3</v>
      </c>
      <c r="FX379" s="5">
        <v>0.19032366370429701</v>
      </c>
      <c r="FY379" s="5">
        <v>-0.18964951560472201</v>
      </c>
      <c r="FZ379" s="5">
        <v>1.80235191431374E-2</v>
      </c>
      <c r="GA379" s="5">
        <v>-2.2687784971183102E-2</v>
      </c>
      <c r="GB379" s="5">
        <v>4.6866076094975499E-2</v>
      </c>
      <c r="GC379" s="5">
        <v>-8.7304145045901005E-2</v>
      </c>
      <c r="GD379" s="5">
        <v>7.0183327364966699E-2</v>
      </c>
      <c r="GE379" s="5">
        <v>-0.106448838576607</v>
      </c>
      <c r="GF379" s="5">
        <v>0.112331867416604</v>
      </c>
      <c r="GG379" s="5">
        <v>-0.15374115578818801</v>
      </c>
      <c r="GH379" s="5">
        <v>5.5747082593971098E-2</v>
      </c>
      <c r="GI379" s="5">
        <v>-7.9653504128023994E-2</v>
      </c>
      <c r="GJ379" s="5">
        <v>2.3031843937253001E-2</v>
      </c>
      <c r="GK379" s="5">
        <v>-7.0543403116118494E-2</v>
      </c>
      <c r="GL379" s="5">
        <v>0.14497396811500499</v>
      </c>
      <c r="GM379" s="5">
        <v>-0.12789423575703299</v>
      </c>
      <c r="GN379" s="5">
        <v>-6.4428073196812902E-2</v>
      </c>
      <c r="GO379" s="5">
        <v>8.4149857132750597E-2</v>
      </c>
      <c r="GP379" s="5">
        <v>-0.100187038732829</v>
      </c>
      <c r="GQ379" s="5">
        <v>0.125175808807311</v>
      </c>
      <c r="GR379" s="5">
        <v>-7.39671224876231E-3</v>
      </c>
      <c r="GS379" s="5">
        <v>1.6151636928222302E-2</v>
      </c>
      <c r="GT379" s="5">
        <v>5.3266601874166701E-2</v>
      </c>
      <c r="GU379" s="5">
        <v>-6.0094781314030198E-2</v>
      </c>
      <c r="GV379" s="5">
        <v>-1.2339191746018999E-2</v>
      </c>
      <c r="GW379" s="5">
        <v>-7.1573652492911199E-2</v>
      </c>
      <c r="GX379" s="5">
        <v>-0.110532804698335</v>
      </c>
      <c r="GY379" s="5">
        <v>0.147491206546497</v>
      </c>
      <c r="GZ379" s="5">
        <v>3.5061063298280999E-3</v>
      </c>
      <c r="HA379" s="5">
        <v>-2.9352376621001298E-2</v>
      </c>
      <c r="HB379" s="5">
        <v>6.2725523155875595E-2</v>
      </c>
      <c r="HC379" s="5">
        <v>-0.195875677973367</v>
      </c>
      <c r="HD379" s="5">
        <v>-2.42380974122695E-2</v>
      </c>
      <c r="HE379" s="5">
        <v>-5.9445011907947501E-2</v>
      </c>
      <c r="HF379" s="5">
        <v>-3.07576802673039E-2</v>
      </c>
      <c r="HG379" s="5">
        <v>-5.2196696765934103E-3</v>
      </c>
      <c r="HH379" s="5">
        <v>5.1424369741875801E-2</v>
      </c>
      <c r="HI379" s="5">
        <v>-6.853545557323E-2</v>
      </c>
      <c r="HJ379" s="5">
        <v>-2.0083967765189802E-2</v>
      </c>
      <c r="HK379" s="5">
        <v>-1.6257289377187699E-2</v>
      </c>
      <c r="HL379" s="5">
        <v>1.36595820048912E-2</v>
      </c>
      <c r="HM379" s="5">
        <v>-6.0656245535202498E-2</v>
      </c>
      <c r="HN379" s="5">
        <v>1.9639054445107499E-2</v>
      </c>
      <c r="HO379" s="5">
        <v>-3.8863711430396602E-2</v>
      </c>
      <c r="HP379" s="5">
        <v>-0.199564434068257</v>
      </c>
      <c r="HQ379" s="5">
        <v>0.17650863526049901</v>
      </c>
      <c r="HR379" s="5">
        <v>-5.82248878234626E-2</v>
      </c>
      <c r="HS379" s="5">
        <v>-2.18763848258831E-2</v>
      </c>
      <c r="HT379" s="5">
        <v>-3.1661523553807802E-2</v>
      </c>
      <c r="HU379" s="5">
        <v>4.1572695889173998E-2</v>
      </c>
      <c r="HV379" s="5">
        <v>-6.21127346725006E-2</v>
      </c>
      <c r="HW379" s="5">
        <v>-2.0361439240985699E-2</v>
      </c>
      <c r="HX379" s="5">
        <v>-1.6161019865674E-2</v>
      </c>
      <c r="HY379" s="5">
        <v>-1.47223628471028E-2</v>
      </c>
      <c r="HZ379" s="5">
        <v>-3.1512692129088797E-2</v>
      </c>
      <c r="IA379" s="5">
        <v>2.8270018221431999E-2</v>
      </c>
      <c r="IB379" s="5">
        <v>1.6635210241316301E-2</v>
      </c>
      <c r="IC379" s="5">
        <v>-2.5190506715825001E-2</v>
      </c>
      <c r="ID379" s="5">
        <v>-3.0071299226652502E-2</v>
      </c>
      <c r="IE379" s="5">
        <v>-4.2451934409525702E-2</v>
      </c>
      <c r="IF379" s="5">
        <v>-5.7422715220587603E-2</v>
      </c>
      <c r="IG379" s="5">
        <v>1.6410111293804399E-3</v>
      </c>
      <c r="IH379" s="5">
        <v>0.27735934912926702</v>
      </c>
      <c r="II379" s="5">
        <v>-0.27378248016441398</v>
      </c>
      <c r="IJ379" s="5">
        <v>-8.8313006338627903E-2</v>
      </c>
      <c r="IK379" s="5">
        <v>9.6391285106359095E-2</v>
      </c>
      <c r="IL379" s="5">
        <v>-7.3738657510682599E-3</v>
      </c>
      <c r="IM379" s="5">
        <v>-5.6929078792503598E-2</v>
      </c>
      <c r="IN379" s="5">
        <v>1.8378136451600999E-2</v>
      </c>
      <c r="IO379" s="5">
        <v>-9.8980762483138404E-2</v>
      </c>
      <c r="IP379" s="5">
        <v>-7.59646086991735E-2</v>
      </c>
      <c r="IQ379" s="5">
        <v>-1.21403403943714E-2</v>
      </c>
      <c r="IR379" s="5">
        <v>-0.58363744071860901</v>
      </c>
      <c r="IS379" s="5">
        <v>0.68228023780750802</v>
      </c>
      <c r="IT379" s="5">
        <v>-3.8818505972326299E-2</v>
      </c>
      <c r="IU379" s="5">
        <v>-3.9026674058302901E-2</v>
      </c>
      <c r="IV379" s="5">
        <v>-8.7414035105309401E-2</v>
      </c>
      <c r="IW379" s="5">
        <v>7.5135379422503802E-4</v>
      </c>
      <c r="IX379" s="5">
        <v>5.5629025487907102E-2</v>
      </c>
      <c r="IY379" s="5">
        <v>-0.11446910331488901</v>
      </c>
      <c r="IZ379" s="5">
        <v>8.4061159895784401E-2</v>
      </c>
      <c r="JA379" s="5">
        <v>-0.103478366680782</v>
      </c>
      <c r="JB379" s="5">
        <v>1.2201216144275899E-2</v>
      </c>
      <c r="JC379" s="5">
        <v>-4.5717214761783198E-2</v>
      </c>
      <c r="JD379" s="5">
        <v>-5.7080520581693002E-2</v>
      </c>
      <c r="JE379" s="5">
        <v>3.06314316869646E-2</v>
      </c>
      <c r="JF379" s="5">
        <v>0.190289784696002</v>
      </c>
      <c r="JG379" s="5">
        <v>-0.21554782042529</v>
      </c>
      <c r="JH379" s="5">
        <v>-0.173845124460554</v>
      </c>
      <c r="JI379" s="5">
        <v>0.25457644765106102</v>
      </c>
      <c r="JJ379" s="5">
        <v>-0.101378853756948</v>
      </c>
      <c r="JK379" s="5">
        <v>6.5384991931583494E-2</v>
      </c>
      <c r="JL379" s="5">
        <v>-0.100410988873471</v>
      </c>
      <c r="JM379" s="5">
        <v>8.9562220007869897E-2</v>
      </c>
      <c r="JN379" s="5">
        <v>9.6466529515563101E-2</v>
      </c>
      <c r="JO379" s="5">
        <v>-0.14250879181075701</v>
      </c>
      <c r="JP379" s="5">
        <v>0.16333078347725499</v>
      </c>
      <c r="JQ379" s="5">
        <v>-0.306134066779846</v>
      </c>
      <c r="JR379" s="5">
        <v>-0.122385749265569</v>
      </c>
      <c r="JS379" s="5">
        <v>8.0496234541097306E-2</v>
      </c>
      <c r="JT379" s="5">
        <v>-0.237936238127545</v>
      </c>
      <c r="JU379" s="5">
        <v>0.23732203386620801</v>
      </c>
      <c r="JV379" s="5">
        <v>-0.21249480791976599</v>
      </c>
      <c r="JW379" s="5">
        <v>0.22468731730130001</v>
      </c>
      <c r="JX379" s="5">
        <v>-7.1761852234835999E-2</v>
      </c>
      <c r="JY379" s="5">
        <v>6.1766933048414997E-2</v>
      </c>
      <c r="JZ379" s="5">
        <v>0.19962187382623101</v>
      </c>
      <c r="KA379" s="5">
        <v>-0.191463078071969</v>
      </c>
      <c r="KB379" s="5">
        <v>1.7253280514790501E-2</v>
      </c>
      <c r="KC379" s="5">
        <v>-4.5657731301536802E-2</v>
      </c>
      <c r="KD379" s="5">
        <v>6.3352542996647304E-2</v>
      </c>
      <c r="KE379" s="5">
        <v>-9.5151481653010697E-2</v>
      </c>
      <c r="KF379" s="5">
        <v>-0.15542239900438401</v>
      </c>
      <c r="KG379" s="5">
        <v>0.21630931270196099</v>
      </c>
      <c r="KH379" s="5">
        <v>3.4166053136511401E-2</v>
      </c>
      <c r="KI379" s="5">
        <v>-4.0765448536595299E-2</v>
      </c>
      <c r="KJ379" s="5">
        <v>-0.102827896619181</v>
      </c>
      <c r="KK379" s="5">
        <v>0.12779884777393299</v>
      </c>
      <c r="KL379" s="5">
        <v>-0.126293948965644</v>
      </c>
      <c r="KM379" s="5">
        <v>0.12686056390745901</v>
      </c>
      <c r="KN379" s="5">
        <v>-8.67587954198378E-3</v>
      </c>
      <c r="KO379" s="5">
        <v>-7.51860200647682E-3</v>
      </c>
      <c r="KP379" s="5">
        <v>6.7182767111094704E-3</v>
      </c>
      <c r="KQ379" s="5">
        <v>-4.9597112885344602E-2</v>
      </c>
      <c r="KR379" s="5">
        <v>3.7296634564428499E-2</v>
      </c>
      <c r="KS379" s="5">
        <v>-7.2894364744449006E-2</v>
      </c>
      <c r="KT379" s="5">
        <v>-5.51849350017146E-3</v>
      </c>
      <c r="KU379" s="5">
        <v>-2.1477533490915499E-2</v>
      </c>
      <c r="KV379" s="5">
        <v>4.5099657891082397E-2</v>
      </c>
      <c r="KW379" s="5">
        <v>-0.13086376908932701</v>
      </c>
      <c r="KX379" s="5">
        <v>-0.115651702707535</v>
      </c>
      <c r="KY379" s="5">
        <v>7.6607114062105797E-2</v>
      </c>
      <c r="KZ379" s="5">
        <v>-0.325950606693728</v>
      </c>
      <c r="LA379" s="5">
        <v>0.31556632929934902</v>
      </c>
      <c r="LB379" s="5">
        <v>-4.8610067967131299E-2</v>
      </c>
      <c r="LC379" s="5">
        <v>-1.86459341813862E-3</v>
      </c>
      <c r="LD379" s="5">
        <v>1.0689869186995E-3</v>
      </c>
      <c r="LE379" s="5">
        <v>-6.7406892123859904E-2</v>
      </c>
      <c r="LF379" s="5">
        <v>-3.7839126044428002E-4</v>
      </c>
      <c r="LG379" s="5">
        <v>-5.0146769999252104E-3</v>
      </c>
      <c r="LH379" s="5">
        <v>-2.9271099893124201E-2</v>
      </c>
      <c r="LI379" s="5">
        <v>-4.5069390229413697E-2</v>
      </c>
      <c r="LJ379" s="5">
        <v>-3.3686580721717103E-2</v>
      </c>
      <c r="LK379" s="5">
        <v>4.4584487121007599E-2</v>
      </c>
      <c r="LL379" s="5">
        <v>4.9305504794894001E-3</v>
      </c>
      <c r="LM379" s="5">
        <v>-7.21117929739096E-2</v>
      </c>
      <c r="LN379" s="5">
        <v>0.10835075393746101</v>
      </c>
      <c r="LO379" s="5">
        <v>-0.20340162301082701</v>
      </c>
      <c r="LP379" s="5">
        <v>5.4396551130647203E-2</v>
      </c>
      <c r="LQ379" s="5">
        <v>-9.1602166312601499E-2</v>
      </c>
      <c r="LR379" s="5">
        <v>-6.1065925180120897E-2</v>
      </c>
      <c r="LS379" s="5">
        <v>5.5962065122097303E-2</v>
      </c>
      <c r="LT379" s="5">
        <v>-2.53568260927911E-2</v>
      </c>
      <c r="LU379" s="5">
        <v>2.4144268829074E-2</v>
      </c>
      <c r="LV379" s="5">
        <v>-3.959866934392E-2</v>
      </c>
      <c r="LW379" s="5">
        <v>2.89572748673248E-2</v>
      </c>
      <c r="LX379" s="5">
        <v>1.2913820928555199E-2</v>
      </c>
      <c r="LY379" s="5">
        <v>1.6941123388401501E-2</v>
      </c>
      <c r="LZ379" s="5">
        <v>-5.1098363039653101E-2</v>
      </c>
      <c r="MA379" s="5">
        <v>-2.6758522702001099E-2</v>
      </c>
      <c r="MB379" s="5">
        <v>-2.9561109284872801E-2</v>
      </c>
      <c r="MC379" s="5">
        <v>-5.06497628618581E-2</v>
      </c>
      <c r="MD379" s="5">
        <v>-3.7784333672975401E-2</v>
      </c>
      <c r="ME379" s="5">
        <v>2.5168417946901198E-2</v>
      </c>
      <c r="MF379" s="5">
        <v>7.4428444314197803E-2</v>
      </c>
      <c r="MG379" s="5">
        <v>-9.7322343622715995E-2</v>
      </c>
      <c r="MH379" s="5">
        <v>-0.13055214502189699</v>
      </c>
      <c r="MI379" s="5">
        <v>0.170113693051197</v>
      </c>
      <c r="MJ379" s="5">
        <v>-0.19071127578101099</v>
      </c>
      <c r="MK379" s="5">
        <v>0.16424668834113601</v>
      </c>
      <c r="ML379" s="5">
        <v>-9.36948545242587E-2</v>
      </c>
      <c r="MM379" s="5">
        <v>0.196150071491244</v>
      </c>
      <c r="MN379" s="5">
        <v>0.159974430615206</v>
      </c>
      <c r="MO379" s="5">
        <v>-0.15445766009853201</v>
      </c>
      <c r="MP379" s="5">
        <v>-8.6411531658141E-2</v>
      </c>
      <c r="MQ379" s="5">
        <v>0.12142338970948</v>
      </c>
      <c r="MR379" s="5">
        <v>-8.1720211514475592E-3</v>
      </c>
      <c r="MS379" s="5">
        <v>1.0779094146085201E-2</v>
      </c>
      <c r="MT379" s="5">
        <v>7.1090523234882699E-2</v>
      </c>
      <c r="MU379" s="5">
        <v>-5.2104508615273298E-2</v>
      </c>
      <c r="MV379" s="5">
        <v>-8.7509021721039804E-2</v>
      </c>
      <c r="MW379" s="5">
        <v>0.11152223861920101</v>
      </c>
      <c r="MX379" s="5">
        <v>0.116286075700073</v>
      </c>
      <c r="MY379" s="5">
        <v>-0.184081770097724</v>
      </c>
      <c r="MZ379" s="5">
        <v>9.7929977288804093E-2</v>
      </c>
      <c r="NA379" s="5">
        <v>-0.119836487046853</v>
      </c>
      <c r="NB379" s="5">
        <v>5.0008936345374101E-2</v>
      </c>
      <c r="NC379" s="5">
        <v>-9.2234815222472594E-2</v>
      </c>
      <c r="ND379" s="5">
        <v>-0.34690209102797098</v>
      </c>
      <c r="NE379" s="5">
        <v>0.41407053331621102</v>
      </c>
      <c r="NF379" s="5">
        <v>-2.4451386083722101E-2</v>
      </c>
      <c r="NG379" s="5">
        <v>2.3258745584075001E-2</v>
      </c>
      <c r="NH379" s="5">
        <v>-5.2246676501317903E-2</v>
      </c>
      <c r="NI379" s="5">
        <v>5.0408431780081302E-2</v>
      </c>
      <c r="NJ379" s="5">
        <v>0.123156929333404</v>
      </c>
      <c r="NK379" s="5">
        <v>-0.170167161018798</v>
      </c>
      <c r="NL379" s="5">
        <v>-6.9713714905516103E-3</v>
      </c>
      <c r="NM379" s="5">
        <v>-5.1155395589694702E-3</v>
      </c>
      <c r="NN379" s="5">
        <v>-0.85563671001200303</v>
      </c>
      <c r="NO379" s="5">
        <v>1</v>
      </c>
      <c r="NP379" s="5"/>
      <c r="NQ379" s="5"/>
      <c r="NR379" s="5"/>
      <c r="NS379" s="5"/>
      <c r="NT379" s="5"/>
      <c r="NU379" s="5"/>
      <c r="NV379" s="5"/>
      <c r="NW379" s="5"/>
      <c r="NX379" s="5"/>
      <c r="NY379" s="5"/>
    </row>
    <row r="380" spans="1:389" x14ac:dyDescent="0.45">
      <c r="A380" s="4" t="str">
        <f ca="1">"WSM / beta1dist in "&amp;CELL("address",'damages-1990'!$J$191)</f>
        <v>WSM / beta1dist in '[BHM betas v3pd.xlsx]damages-1990'!$J$191</v>
      </c>
      <c r="B380" s="6">
        <v>0.164961601301743</v>
      </c>
      <c r="C380" s="5">
        <v>5.50291010150274E-2</v>
      </c>
      <c r="D380" s="5">
        <v>0.37957028298357298</v>
      </c>
      <c r="E380" s="5">
        <v>-6.2775531212979796E-2</v>
      </c>
      <c r="F380" s="5">
        <v>9.8894288038632205E-2</v>
      </c>
      <c r="G380" s="5">
        <v>5.0991267520537398E-2</v>
      </c>
      <c r="H380" s="5">
        <v>0.117621753507159</v>
      </c>
      <c r="I380" s="5">
        <v>-0.188148901521206</v>
      </c>
      <c r="J380" s="5">
        <v>0.36599323030153502</v>
      </c>
      <c r="K380" s="5">
        <v>-0.144049651208287</v>
      </c>
      <c r="L380" s="5">
        <v>0.36818593162875202</v>
      </c>
      <c r="M380" s="5">
        <v>-0.124207367902112</v>
      </c>
      <c r="N380" s="5">
        <v>-9.33930587987509E-2</v>
      </c>
      <c r="O380" s="5">
        <v>0.10419395204800599</v>
      </c>
      <c r="P380" s="5">
        <v>-2.5865053389267902E-2</v>
      </c>
      <c r="Q380" s="5">
        <v>0.11898126230660901</v>
      </c>
      <c r="R380" s="5">
        <v>0.55763222822659797</v>
      </c>
      <c r="S380" s="5">
        <v>-0.350180040801507</v>
      </c>
      <c r="T380" s="5">
        <v>8.8521082468167797E-2</v>
      </c>
      <c r="U380" s="5">
        <v>-0.121820752042827</v>
      </c>
      <c r="V380" s="5">
        <v>0.124970487469135</v>
      </c>
      <c r="W380" s="5">
        <v>0.100889975751557</v>
      </c>
      <c r="X380" s="5">
        <v>0.342263659628116</v>
      </c>
      <c r="Y380" s="5">
        <v>-7.7029326783614696E-2</v>
      </c>
      <c r="Z380" s="5">
        <v>9.7907794875090104E-2</v>
      </c>
      <c r="AA380" s="5">
        <v>-7.4033232255685505E-2</v>
      </c>
      <c r="AB380" s="5">
        <v>0.39993286261753203</v>
      </c>
      <c r="AC380" s="5">
        <v>-0.110474631952668</v>
      </c>
      <c r="AD380" s="5">
        <v>0.33582935449665402</v>
      </c>
      <c r="AE380" s="5">
        <v>-2.0297560650309399E-2</v>
      </c>
      <c r="AF380" s="5">
        <v>0.13361285460712</v>
      </c>
      <c r="AG380" s="5">
        <v>4.2489512120695599E-2</v>
      </c>
      <c r="AH380" s="5">
        <v>6.87901705275243E-2</v>
      </c>
      <c r="AI380" s="5">
        <v>5.2030991716122202E-2</v>
      </c>
      <c r="AJ380" s="5">
        <v>0.31775932126610801</v>
      </c>
      <c r="AK380" s="5">
        <v>-0.139105235647457</v>
      </c>
      <c r="AL380" s="5">
        <v>0.165002633692937</v>
      </c>
      <c r="AM380" s="5">
        <v>1.48919097245133E-2</v>
      </c>
      <c r="AN380" s="5">
        <v>8.2437085154213594E-2</v>
      </c>
      <c r="AO380" s="5">
        <v>-2.0312545466184599E-2</v>
      </c>
      <c r="AP380" s="5">
        <v>-2.7790024939385398E-3</v>
      </c>
      <c r="AQ380" s="5">
        <v>1.7766439870956701E-2</v>
      </c>
      <c r="AR380" s="5">
        <v>0.22130939038500899</v>
      </c>
      <c r="AS380" s="5">
        <v>2.8451642007869701E-2</v>
      </c>
      <c r="AT380" s="5">
        <v>0.13404137266892699</v>
      </c>
      <c r="AU380" s="5">
        <v>4.8110633784465798E-2</v>
      </c>
      <c r="AV380" s="5">
        <v>0.32306110275093303</v>
      </c>
      <c r="AW380" s="5">
        <v>-4.8368316903918303E-2</v>
      </c>
      <c r="AX380" s="5">
        <v>0.38151789693856603</v>
      </c>
      <c r="AY380" s="5">
        <v>-0.12763456931310599</v>
      </c>
      <c r="AZ380" s="5">
        <v>0.188570775875471</v>
      </c>
      <c r="BA380" s="5">
        <v>-7.1763487808314097E-2</v>
      </c>
      <c r="BB380" s="5">
        <v>0.40529628818107999</v>
      </c>
      <c r="BC380" s="5">
        <v>-0.116615037121877</v>
      </c>
      <c r="BD380" s="5">
        <v>8.5788923837051098E-2</v>
      </c>
      <c r="BE380" s="5">
        <v>0.120349543177158</v>
      </c>
      <c r="BF380" s="5">
        <v>0.31523664523782302</v>
      </c>
      <c r="BG380" s="5">
        <v>-0.12889353721628299</v>
      </c>
      <c r="BH380" s="5">
        <v>0.40486711570011902</v>
      </c>
      <c r="BI380" s="5">
        <v>-0.111920540435842</v>
      </c>
      <c r="BJ380" s="5">
        <v>-0.23802927970075599</v>
      </c>
      <c r="BK380" s="5">
        <v>0.20351971728575199</v>
      </c>
      <c r="BL380" s="5">
        <v>0.13991783538087799</v>
      </c>
      <c r="BM380" s="5">
        <v>-0.20310686308869</v>
      </c>
      <c r="BN380" s="5">
        <v>-0.23164796685542999</v>
      </c>
      <c r="BO380" s="5">
        <v>0.33028651451392799</v>
      </c>
      <c r="BP380" s="5">
        <v>-4.5555390187963098E-2</v>
      </c>
      <c r="BQ380" s="5">
        <v>9.2689172093428501E-2</v>
      </c>
      <c r="BR380" s="5">
        <v>0.33687039345112502</v>
      </c>
      <c r="BS380" s="5">
        <v>-4.4361405562177499E-2</v>
      </c>
      <c r="BT380" s="5">
        <v>0.38297965016073898</v>
      </c>
      <c r="BU380" s="5">
        <v>-8.98983296126592E-2</v>
      </c>
      <c r="BV380" s="5">
        <v>0.425657068805322</v>
      </c>
      <c r="BW380" s="5">
        <v>-0.114347484337883</v>
      </c>
      <c r="BX380" s="5">
        <v>0.493273440203856</v>
      </c>
      <c r="BY380" s="5">
        <v>-0.203357047312509</v>
      </c>
      <c r="BZ380" s="5">
        <v>0.38408252171541601</v>
      </c>
      <c r="CA380" s="5">
        <v>-9.6909013022188503E-2</v>
      </c>
      <c r="CB380" s="5">
        <v>0.25192605377416899</v>
      </c>
      <c r="CC380" s="5">
        <v>-0.104898166154564</v>
      </c>
      <c r="CD380" s="5">
        <v>0.19600998116592799</v>
      </c>
      <c r="CE380" s="5">
        <v>-5.4158789464351202E-2</v>
      </c>
      <c r="CF380" s="5">
        <v>0.17188775067895601</v>
      </c>
      <c r="CG380" s="5">
        <v>2.4714146985110201E-2</v>
      </c>
      <c r="CH380" s="5">
        <v>0.17827388384766299</v>
      </c>
      <c r="CI380" s="5">
        <v>1.91366382006588E-2</v>
      </c>
      <c r="CJ380" s="5">
        <v>-0.136098301176828</v>
      </c>
      <c r="CK380" s="5">
        <v>0.26332034665179299</v>
      </c>
      <c r="CL380" s="5">
        <v>8.4256534959209303E-2</v>
      </c>
      <c r="CM380" s="5">
        <v>-8.7876557265351901E-2</v>
      </c>
      <c r="CN380" s="5">
        <v>8.0383372916159601E-2</v>
      </c>
      <c r="CO380" s="5">
        <v>-7.4314626823316896E-2</v>
      </c>
      <c r="CP380" s="5">
        <v>0.29747859975519197</v>
      </c>
      <c r="CQ380" s="5">
        <v>-8.2329483252509106E-2</v>
      </c>
      <c r="CR380" s="5">
        <v>4.0857545238625198E-2</v>
      </c>
      <c r="CS380" s="5">
        <v>7.2409053448782595E-2</v>
      </c>
      <c r="CT380" s="5">
        <v>-7.02710951660534E-6</v>
      </c>
      <c r="CU380" s="5">
        <v>-1.0668063602909001E-2</v>
      </c>
      <c r="CV380" s="5">
        <v>0.41057159253860398</v>
      </c>
      <c r="CW380" s="5">
        <v>-0.25613444780308398</v>
      </c>
      <c r="CX380" s="5">
        <v>0.25066678932792502</v>
      </c>
      <c r="CY380" s="5">
        <v>2.3045804862778099E-2</v>
      </c>
      <c r="CZ380" s="5">
        <v>0.32026185990501799</v>
      </c>
      <c r="DA380" s="5">
        <v>-7.4003426091193703E-2</v>
      </c>
      <c r="DB380" s="5">
        <v>0.119362894699825</v>
      </c>
      <c r="DC380" s="5">
        <v>0.145361344954379</v>
      </c>
      <c r="DD380" s="5">
        <v>0.32746468940569301</v>
      </c>
      <c r="DE380" s="5">
        <v>-9.1963088587734595E-2</v>
      </c>
      <c r="DF380" s="5">
        <v>0.24330256625612101</v>
      </c>
      <c r="DG380" s="5">
        <v>-2.4810316424435101E-2</v>
      </c>
      <c r="DH380" s="5">
        <v>8.6574489064020099E-2</v>
      </c>
      <c r="DI380" s="5">
        <v>0.10932680000615699</v>
      </c>
      <c r="DJ380" s="5">
        <v>-0.10753760988250401</v>
      </c>
      <c r="DK380" s="5">
        <v>8.6023214083379096E-2</v>
      </c>
      <c r="DL380" s="5">
        <v>0.240421696115063</v>
      </c>
      <c r="DM380" s="5">
        <v>3.8386736591706702E-2</v>
      </c>
      <c r="DN380" s="5">
        <v>-0.144937536035286</v>
      </c>
      <c r="DO380" s="5">
        <v>6.2323913362557E-2</v>
      </c>
      <c r="DP380" s="5">
        <v>0.36758786177918401</v>
      </c>
      <c r="DQ380" s="5">
        <v>-0.18130124836652001</v>
      </c>
      <c r="DR380" s="5">
        <v>0.10976589796481299</v>
      </c>
      <c r="DS380" s="5">
        <v>-1.8483107335154899E-2</v>
      </c>
      <c r="DT380" s="5">
        <v>0.17477820323813101</v>
      </c>
      <c r="DU380" s="5">
        <v>-1.02460976865836E-2</v>
      </c>
      <c r="DV380" s="5">
        <v>0.49409651076787697</v>
      </c>
      <c r="DW380" s="5">
        <v>-0.27474606768798299</v>
      </c>
      <c r="DX380" s="5">
        <v>0.102585067284838</v>
      </c>
      <c r="DY380" s="5">
        <v>-0.11664766353436801</v>
      </c>
      <c r="DZ380" s="5">
        <v>-3.2744119721958197E-2</v>
      </c>
      <c r="EA380" s="5">
        <v>6.1505765118258199E-2</v>
      </c>
      <c r="EB380" s="5">
        <v>0.35521716140645598</v>
      </c>
      <c r="EC380" s="5">
        <v>-6.0754153712725703E-2</v>
      </c>
      <c r="ED380" s="5">
        <v>0.44227698730420401</v>
      </c>
      <c r="EE380" s="5">
        <v>-0.131550612938271</v>
      </c>
      <c r="EF380" s="5">
        <v>1.0250676551797899E-2</v>
      </c>
      <c r="EG380" s="5">
        <v>8.7323992576387496E-2</v>
      </c>
      <c r="EH380" s="5">
        <v>0.325495708930089</v>
      </c>
      <c r="EI380" s="5">
        <v>-3.3857943084324399E-3</v>
      </c>
      <c r="EJ380" s="5">
        <v>0.35071645013848701</v>
      </c>
      <c r="EK380" s="5">
        <v>-3.37846386381618E-2</v>
      </c>
      <c r="EL380" s="5">
        <v>0.40753940899395602</v>
      </c>
      <c r="EM380" s="5">
        <v>-0.13719358403899201</v>
      </c>
      <c r="EN380" s="5">
        <v>9.6389041189013897E-2</v>
      </c>
      <c r="EO380" s="5">
        <v>6.2903155209365402E-2</v>
      </c>
      <c r="EP380" s="5">
        <v>0.35110106482928399</v>
      </c>
      <c r="EQ380" s="5">
        <v>-0.223971649783402</v>
      </c>
      <c r="ER380" s="5">
        <v>0.29085427695399602</v>
      </c>
      <c r="ES380" s="5">
        <v>-2.1917554120698901E-2</v>
      </c>
      <c r="ET380" s="5">
        <v>0.23491631680845601</v>
      </c>
      <c r="EU380" s="5">
        <v>-6.0631383173224702E-2</v>
      </c>
      <c r="EV380" s="5">
        <v>0.140153958481814</v>
      </c>
      <c r="EW380" s="5">
        <v>3.2166537455651602E-2</v>
      </c>
      <c r="EX380" s="5">
        <v>0.220123494230126</v>
      </c>
      <c r="EY380" s="5">
        <v>-9.8785587850682505E-2</v>
      </c>
      <c r="EZ380" s="5">
        <v>0.19270449401482301</v>
      </c>
      <c r="FA380" s="5">
        <v>8.2844948942110294E-2</v>
      </c>
      <c r="FB380" s="5">
        <v>6.2924298851974897E-2</v>
      </c>
      <c r="FC380" s="5">
        <v>7.7894939159315404E-2</v>
      </c>
      <c r="FD380" s="5">
        <v>0.33976602756906099</v>
      </c>
      <c r="FE380" s="5">
        <v>-0.142248222301737</v>
      </c>
      <c r="FF380" s="5">
        <v>5.5162014959720902E-2</v>
      </c>
      <c r="FG380" s="5">
        <v>5.0922414809668998E-2</v>
      </c>
      <c r="FH380" s="5">
        <v>0.45298507017072098</v>
      </c>
      <c r="FI380" s="5">
        <v>-0.25721149019335698</v>
      </c>
      <c r="FJ380" s="5">
        <v>0.40986121585670598</v>
      </c>
      <c r="FK380" s="5">
        <v>-0.15282539537614501</v>
      </c>
      <c r="FL380" s="5">
        <v>0.12490225009620499</v>
      </c>
      <c r="FM380" s="5">
        <v>-9.7799179485295304E-2</v>
      </c>
      <c r="FN380" s="5">
        <v>0.32846779450532998</v>
      </c>
      <c r="FO380" s="5">
        <v>-9.8594785283572003E-2</v>
      </c>
      <c r="FP380" s="5">
        <v>0.25855992794868399</v>
      </c>
      <c r="FQ380" s="5">
        <v>-3.65865663993978E-2</v>
      </c>
      <c r="FR380" s="5">
        <v>-4.6283826362016701E-2</v>
      </c>
      <c r="FS380" s="5">
        <v>2.1157897721428998E-2</v>
      </c>
      <c r="FT380" s="5">
        <v>2.2171410758709102E-2</v>
      </c>
      <c r="FU380" s="5">
        <v>0.204455695582417</v>
      </c>
      <c r="FV380" s="5">
        <v>8.1539207595994201E-2</v>
      </c>
      <c r="FW380" s="5">
        <v>0.12590308002898601</v>
      </c>
      <c r="FX380" s="5">
        <v>5.98450437243798E-2</v>
      </c>
      <c r="FY380" s="5">
        <v>0.15974246461564701</v>
      </c>
      <c r="FZ380" s="5">
        <v>0.121415020984619</v>
      </c>
      <c r="GA380" s="5">
        <v>0.131478508202925</v>
      </c>
      <c r="GB380" s="5">
        <v>0.145926867739579</v>
      </c>
      <c r="GC380" s="5">
        <v>-3.6953098241256303E-2</v>
      </c>
      <c r="GD380" s="5">
        <v>-0.20173716329022001</v>
      </c>
      <c r="GE380" s="5">
        <v>0.25582340846915302</v>
      </c>
      <c r="GF380" s="5">
        <v>0.23903644452188499</v>
      </c>
      <c r="GG380" s="5">
        <v>8.7190875944994604E-3</v>
      </c>
      <c r="GH380" s="5">
        <v>-0.23123919612347699</v>
      </c>
      <c r="GI380" s="5">
        <v>0.19998213290175901</v>
      </c>
      <c r="GJ380" s="5">
        <v>0.120384085640505</v>
      </c>
      <c r="GK380" s="5">
        <v>0.10189397064181301</v>
      </c>
      <c r="GL380" s="5">
        <v>0.13732434861759199</v>
      </c>
      <c r="GM380" s="5">
        <v>-5.6854694450647197E-2</v>
      </c>
      <c r="GN380" s="5">
        <v>0.167077105658891</v>
      </c>
      <c r="GO380" s="5">
        <v>-6.2330256810314899E-2</v>
      </c>
      <c r="GP380" s="5">
        <v>0.371690055174133</v>
      </c>
      <c r="GQ380" s="5">
        <v>-0.18111047644985501</v>
      </c>
      <c r="GR380" s="5">
        <v>0.2269311751408</v>
      </c>
      <c r="GS380" s="5">
        <v>-1.99011145265259E-2</v>
      </c>
      <c r="GT380" s="5">
        <v>-1.4896658576771801E-2</v>
      </c>
      <c r="GU380" s="5">
        <v>0.265380761658774</v>
      </c>
      <c r="GV380" s="5">
        <v>0.481808238115427</v>
      </c>
      <c r="GW380" s="5">
        <v>-0.252352186541421</v>
      </c>
      <c r="GX380" s="5">
        <v>0.19610930187178</v>
      </c>
      <c r="GY380" s="5">
        <v>3.2433150688403203E-2</v>
      </c>
      <c r="GZ380" s="5">
        <v>0.13998070544200999</v>
      </c>
      <c r="HA380" s="5">
        <v>-0.20062926615000401</v>
      </c>
      <c r="HB380" s="5">
        <v>0.31050936410916402</v>
      </c>
      <c r="HC380" s="5">
        <v>-0.10792059789988</v>
      </c>
      <c r="HD380" s="5">
        <v>0.114280414790911</v>
      </c>
      <c r="HE380" s="5">
        <v>0.14916385427273901</v>
      </c>
      <c r="HF380" s="5">
        <v>-2.6264395225765302E-2</v>
      </c>
      <c r="HG380" s="5">
        <v>2.21759507192975E-2</v>
      </c>
      <c r="HH380" s="5">
        <v>0.10416333973684699</v>
      </c>
      <c r="HI380" s="5">
        <v>-9.7157156358268201E-2</v>
      </c>
      <c r="HJ380" s="5">
        <v>-5.7413216271559903E-2</v>
      </c>
      <c r="HK380" s="5">
        <v>4.5526977976529402E-2</v>
      </c>
      <c r="HL380" s="5">
        <v>0.13994728546850099</v>
      </c>
      <c r="HM380" s="5">
        <v>8.8462857342909901E-2</v>
      </c>
      <c r="HN380" s="5">
        <v>2.9189129405233799E-2</v>
      </c>
      <c r="HO380" s="5">
        <v>7.0517947624902197E-2</v>
      </c>
      <c r="HP380" s="5">
        <v>0.16548733183294501</v>
      </c>
      <c r="HQ380" s="5">
        <v>0.15074941082150101</v>
      </c>
      <c r="HR380" s="5">
        <v>0.29085380547048201</v>
      </c>
      <c r="HS380" s="5">
        <v>7.0848041430313898E-3</v>
      </c>
      <c r="HT380" s="5">
        <v>8.8782075574527206E-2</v>
      </c>
      <c r="HU380" s="5">
        <v>1.5222133406727701E-2</v>
      </c>
      <c r="HV380" s="5">
        <v>0.41788617218129798</v>
      </c>
      <c r="HW380" s="5">
        <v>-0.104061115336992</v>
      </c>
      <c r="HX380" s="5">
        <v>0.35334461063165601</v>
      </c>
      <c r="HY380" s="5">
        <v>-8.4464490466057807E-2</v>
      </c>
      <c r="HZ380" s="5">
        <v>8.0299833508540003E-2</v>
      </c>
      <c r="IA380" s="5">
        <v>-4.7738952612408798E-2</v>
      </c>
      <c r="IB380" s="5">
        <v>-3.8871985703617599E-2</v>
      </c>
      <c r="IC380" s="5">
        <v>-1.80309385092771E-3</v>
      </c>
      <c r="ID380" s="5">
        <v>0.33415628095581101</v>
      </c>
      <c r="IE380" s="5">
        <v>-0.114605346967341</v>
      </c>
      <c r="IF380" s="5">
        <v>0.43031348381367901</v>
      </c>
      <c r="IG380" s="5">
        <v>-0.122350055562076</v>
      </c>
      <c r="IH380" s="5">
        <v>6.9739470543123905E-2</v>
      </c>
      <c r="II380" s="5">
        <v>5.0396670631347798E-2</v>
      </c>
      <c r="IJ380" s="5">
        <v>6.6211506055282296E-2</v>
      </c>
      <c r="IK380" s="5">
        <v>0.118153398912553</v>
      </c>
      <c r="IL380" s="5">
        <v>0.45038914921203999</v>
      </c>
      <c r="IM380" s="5">
        <v>-0.27746428347531699</v>
      </c>
      <c r="IN380" s="5">
        <v>0.374131446504814</v>
      </c>
      <c r="IO380" s="5">
        <v>-9.4755795456876707E-2</v>
      </c>
      <c r="IP380" s="5">
        <v>0.351296889258431</v>
      </c>
      <c r="IQ380" s="5">
        <v>-8.87335764679687E-2</v>
      </c>
      <c r="IR380" s="5">
        <v>-4.9447141084808702E-2</v>
      </c>
      <c r="IS380" s="5">
        <v>0.25384666568370801</v>
      </c>
      <c r="IT380" s="5">
        <v>0.26803805651813301</v>
      </c>
      <c r="IU380" s="5">
        <v>2.86829544354733E-2</v>
      </c>
      <c r="IV380" s="5">
        <v>0.35068786554827103</v>
      </c>
      <c r="IW380" s="5">
        <v>-9.3161204526840097E-2</v>
      </c>
      <c r="IX380" s="5">
        <v>0.23008712256929501</v>
      </c>
      <c r="IY380" s="5">
        <v>-8.3915803453313905E-4</v>
      </c>
      <c r="IZ380" s="5">
        <v>8.9066527995359607E-2</v>
      </c>
      <c r="JA380" s="5">
        <v>-7.4933045418435498E-2</v>
      </c>
      <c r="JB380" s="5">
        <v>-0.117982249704493</v>
      </c>
      <c r="JC380" s="5">
        <v>2.2082729770105902E-2</v>
      </c>
      <c r="JD380" s="5">
        <v>0.143289183117601</v>
      </c>
      <c r="JE380" s="5">
        <v>0.111611182884315</v>
      </c>
      <c r="JF380" s="5">
        <v>0.36177607198982997</v>
      </c>
      <c r="JG380" s="5">
        <v>-0.22333305547181501</v>
      </c>
      <c r="JH380" s="5">
        <v>-1.09228409021138E-2</v>
      </c>
      <c r="JI380" s="5">
        <v>8.7449903203738702E-2</v>
      </c>
      <c r="JJ380" s="5">
        <v>0.33010637566964801</v>
      </c>
      <c r="JK380" s="5">
        <v>-3.6562074239557901E-2</v>
      </c>
      <c r="JL380" s="5">
        <v>0.18934022350379001</v>
      </c>
      <c r="JM380" s="5">
        <v>4.4264440015955697E-2</v>
      </c>
      <c r="JN380" s="5">
        <v>0.31124932494193602</v>
      </c>
      <c r="JO380" s="5">
        <v>-0.12688475680382899</v>
      </c>
      <c r="JP380" s="5">
        <v>0.23520187308955001</v>
      </c>
      <c r="JQ380" s="5">
        <v>0.11383795083050501</v>
      </c>
      <c r="JR380" s="5">
        <v>0.25051774602557603</v>
      </c>
      <c r="JS380" s="5">
        <v>3.9088819718769902E-2</v>
      </c>
      <c r="JT380" s="5">
        <v>9.9441031179110503E-2</v>
      </c>
      <c r="JU380" s="5">
        <v>0.156100049436042</v>
      </c>
      <c r="JV380" s="5">
        <v>0.49307561531357602</v>
      </c>
      <c r="JW380" s="5">
        <v>-0.31767858270133498</v>
      </c>
      <c r="JX380" s="5">
        <v>5.1127985039123497E-2</v>
      </c>
      <c r="JY380" s="5">
        <v>-4.4345694159894998E-2</v>
      </c>
      <c r="JZ380" s="5">
        <v>8.8003857526397694E-2</v>
      </c>
      <c r="KA380" s="5">
        <v>1.3910921894357499E-2</v>
      </c>
      <c r="KB380" s="5">
        <v>2.9937455943958101E-2</v>
      </c>
      <c r="KC380" s="5">
        <v>-3.7988348313525003E-2</v>
      </c>
      <c r="KD380" s="5">
        <v>-3.5325886926824198E-4</v>
      </c>
      <c r="KE380" s="5">
        <v>0.18549500225944399</v>
      </c>
      <c r="KF380" s="5">
        <v>0.47887662305928103</v>
      </c>
      <c r="KG380" s="5">
        <v>-0.25729239330731002</v>
      </c>
      <c r="KH380" s="5">
        <v>2.8865793270073999E-2</v>
      </c>
      <c r="KI380" s="5">
        <v>0.17541859351561101</v>
      </c>
      <c r="KJ380" s="5">
        <v>0.33156664695632199</v>
      </c>
      <c r="KK380" s="5">
        <v>-0.145701782726641</v>
      </c>
      <c r="KL380" s="5">
        <v>0.13572443762366301</v>
      </c>
      <c r="KM380" s="5">
        <v>9.6355854660103907E-2</v>
      </c>
      <c r="KN380" s="5">
        <v>4.0521891390093497E-2</v>
      </c>
      <c r="KO380" s="5">
        <v>3.3115579550403298E-2</v>
      </c>
      <c r="KP380" s="5">
        <v>-0.116689549737993</v>
      </c>
      <c r="KQ380" s="5">
        <v>6.7503294321726706E-2</v>
      </c>
      <c r="KR380" s="5">
        <v>0.31260976176381</v>
      </c>
      <c r="KS380" s="5">
        <v>-3.5917627746570202E-2</v>
      </c>
      <c r="KT380" s="5">
        <v>0.28970765882809102</v>
      </c>
      <c r="KU380" s="5">
        <v>-4.6498581917761801E-2</v>
      </c>
      <c r="KV380" s="5">
        <v>0.32566658523269698</v>
      </c>
      <c r="KW380" s="5">
        <v>-5.1473613192041801E-2</v>
      </c>
      <c r="KX380" s="5">
        <v>0.34969415797238101</v>
      </c>
      <c r="KY380" s="5">
        <v>-1.5643899124362599E-2</v>
      </c>
      <c r="KZ380" s="5">
        <v>0.44743485123688698</v>
      </c>
      <c r="LA380" s="5">
        <v>-0.34588165829093098</v>
      </c>
      <c r="LB380" s="5">
        <v>0.39877543331231202</v>
      </c>
      <c r="LC380" s="5">
        <v>-0.14216812753402799</v>
      </c>
      <c r="LD380" s="5">
        <v>0.20990814107154199</v>
      </c>
      <c r="LE380" s="5">
        <v>6.8940741210780296E-2</v>
      </c>
      <c r="LF380" s="5">
        <v>8.3230541243824605E-2</v>
      </c>
      <c r="LG380" s="5">
        <v>5.22772816842699E-2</v>
      </c>
      <c r="LH380" s="5">
        <v>0.23299600743590301</v>
      </c>
      <c r="LI380" s="5">
        <v>4.4613844337905502E-2</v>
      </c>
      <c r="LJ380" s="5">
        <v>7.7262474398638495E-2</v>
      </c>
      <c r="LK380" s="5">
        <v>4.3204682412575197E-2</v>
      </c>
      <c r="LL380" s="5">
        <v>0.37510441209543399</v>
      </c>
      <c r="LM380" s="5">
        <v>-0.166523410587091</v>
      </c>
      <c r="LN380" s="5">
        <v>0.45111101471088699</v>
      </c>
      <c r="LO380" s="5">
        <v>-0.286958617954788</v>
      </c>
      <c r="LP380" s="5">
        <v>0.17011163045693001</v>
      </c>
      <c r="LQ380" s="5">
        <v>-1.9715172089009501E-2</v>
      </c>
      <c r="LR380" s="5">
        <v>5.9333421998297199E-2</v>
      </c>
      <c r="LS380" s="5">
        <v>-5.60226103738653E-2</v>
      </c>
      <c r="LT380" s="5">
        <v>6.6228501933148803E-2</v>
      </c>
      <c r="LU380" s="5">
        <v>-2.9541548717099401E-2</v>
      </c>
      <c r="LV380" s="5">
        <v>-0.12024493780831701</v>
      </c>
      <c r="LW380" s="5">
        <v>4.0566136378008301E-2</v>
      </c>
      <c r="LX380" s="5">
        <v>0.11237157321201501</v>
      </c>
      <c r="LY380" s="5">
        <v>0.11411591838474899</v>
      </c>
      <c r="LZ380" s="5">
        <v>0.29635885197244999</v>
      </c>
      <c r="MA380" s="5">
        <v>-1.02229389035244E-2</v>
      </c>
      <c r="MB380" s="5">
        <v>0.43828757121291401</v>
      </c>
      <c r="MC380" s="5">
        <v>-0.15113229237272799</v>
      </c>
      <c r="MD380" s="5">
        <v>0.23842430988017499</v>
      </c>
      <c r="ME380" s="5">
        <v>-1.7629968583266299E-2</v>
      </c>
      <c r="MF380" s="5">
        <v>-8.8696007444453495E-2</v>
      </c>
      <c r="MG380" s="5">
        <v>5.4071125387706698E-2</v>
      </c>
      <c r="MH380" s="5">
        <v>0.389823428221028</v>
      </c>
      <c r="MI380" s="5">
        <v>-0.248770512382673</v>
      </c>
      <c r="MJ380" s="5">
        <v>0.32959077175219498</v>
      </c>
      <c r="MK380" s="5">
        <v>-0.26784771676753</v>
      </c>
      <c r="ML380" s="5">
        <v>0.62973800277696901</v>
      </c>
      <c r="MM380" s="5">
        <v>-0.53286081433127397</v>
      </c>
      <c r="MN380" s="5">
        <v>0.33540505691495498</v>
      </c>
      <c r="MO380" s="5">
        <v>-0.167377530945509</v>
      </c>
      <c r="MP380" s="5">
        <v>9.5431336772869801E-2</v>
      </c>
      <c r="MQ380" s="5">
        <v>0.121396533520351</v>
      </c>
      <c r="MR380" s="5">
        <v>9.8957649031919906E-2</v>
      </c>
      <c r="MS380" s="5">
        <v>5.27130718350119E-2</v>
      </c>
      <c r="MT380" s="5">
        <v>0.356340384232879</v>
      </c>
      <c r="MU380" s="5">
        <v>-0.262452907382274</v>
      </c>
      <c r="MV380" s="5">
        <v>0.26119206845770099</v>
      </c>
      <c r="MW380" s="5">
        <v>-6.3513408121752102E-2</v>
      </c>
      <c r="MX380" s="5">
        <v>0.28561359595126001</v>
      </c>
      <c r="MY380" s="5">
        <v>-3.3193043703676699E-2</v>
      </c>
      <c r="MZ380" s="5">
        <v>0.27260009238529698</v>
      </c>
      <c r="NA380" s="5">
        <v>-8.0235583355251994E-2</v>
      </c>
      <c r="NB380" s="5">
        <v>2.58991402884962E-2</v>
      </c>
      <c r="NC380" s="5">
        <v>2.3730882420707599E-2</v>
      </c>
      <c r="ND380" s="5">
        <v>0.20247505012813899</v>
      </c>
      <c r="NE380" s="5">
        <v>0.13416941124772799</v>
      </c>
      <c r="NF380" s="5">
        <v>-5.3975764712457797E-2</v>
      </c>
      <c r="NG380" s="5">
        <v>0.15481636365238699</v>
      </c>
      <c r="NH380" s="5">
        <v>0.138849431392015</v>
      </c>
      <c r="NI380" s="5">
        <v>7.3147455116904195E-2</v>
      </c>
      <c r="NJ380" s="5">
        <v>0.44077340340707299</v>
      </c>
      <c r="NK380" s="5">
        <v>-0.20791474784596201</v>
      </c>
      <c r="NL380" s="5">
        <v>0.25822723237538397</v>
      </c>
      <c r="NM380" s="5">
        <v>-4.9672713466061197E-2</v>
      </c>
      <c r="NN380" s="5">
        <v>0.181930746355315</v>
      </c>
      <c r="NO380" s="5">
        <v>7.33644473532817E-3</v>
      </c>
      <c r="NP380" s="5">
        <v>1</v>
      </c>
      <c r="NQ380" s="5"/>
      <c r="NR380" s="5"/>
      <c r="NS380" s="5"/>
      <c r="NT380" s="5"/>
      <c r="NU380" s="5"/>
      <c r="NV380" s="5"/>
      <c r="NW380" s="5"/>
      <c r="NX380" s="5"/>
      <c r="NY380" s="5"/>
    </row>
    <row r="381" spans="1:389" x14ac:dyDescent="0.45">
      <c r="A381" s="4" t="str">
        <f ca="1">"WSM / beta2dist in "&amp;CELL("address",'damages-1990'!$K$191)</f>
        <v>WSM / beta2dist in '[BHM betas v3pd.xlsx]damages-1990'!$K$191</v>
      </c>
      <c r="B381" s="6">
        <v>-5.0206034718026801E-2</v>
      </c>
      <c r="C381" s="5">
        <v>8.6244140647717599E-2</v>
      </c>
      <c r="D381" s="5">
        <v>-0.16471839537823299</v>
      </c>
      <c r="E381" s="5">
        <v>0.12479771890543501</v>
      </c>
      <c r="F381" s="5">
        <v>-6.7535925328375598E-3</v>
      </c>
      <c r="G381" s="5">
        <v>1.2099137323365299E-2</v>
      </c>
      <c r="H381" s="5">
        <v>-0.17509993459397999</v>
      </c>
      <c r="I381" s="5">
        <v>0.19598284424454099</v>
      </c>
      <c r="J381" s="5">
        <v>-0.19560378156184699</v>
      </c>
      <c r="K381" s="5">
        <v>0.25020564972292197</v>
      </c>
      <c r="L381" s="5">
        <v>-0.21222848018294099</v>
      </c>
      <c r="M381" s="5">
        <v>0.21549038395426301</v>
      </c>
      <c r="N381" s="5">
        <v>4.8026600743688003E-2</v>
      </c>
      <c r="O381" s="5">
        <v>-5.1051941397322803E-2</v>
      </c>
      <c r="P381" s="5">
        <v>9.1966039418503703E-2</v>
      </c>
      <c r="Q381" s="5">
        <v>-1.9650607190206199E-2</v>
      </c>
      <c r="R381" s="5">
        <v>-0.325015709592271</v>
      </c>
      <c r="S381" s="5">
        <v>0.37485781189238998</v>
      </c>
      <c r="T381" s="5">
        <v>-0.19192974967511001</v>
      </c>
      <c r="U381" s="5">
        <v>0.215524977795641</v>
      </c>
      <c r="V381" s="5">
        <v>-1.40705855817262E-2</v>
      </c>
      <c r="W381" s="5">
        <v>2.72988548442047E-2</v>
      </c>
      <c r="X381" s="5">
        <v>-0.14473291440148101</v>
      </c>
      <c r="Y381" s="5">
        <v>0.15700190997275901</v>
      </c>
      <c r="Z381" s="5">
        <v>-8.5573504332662295E-2</v>
      </c>
      <c r="AA381" s="5">
        <v>0.11819692340994301</v>
      </c>
      <c r="AB381" s="5">
        <v>-0.19812935905394399</v>
      </c>
      <c r="AC381" s="5">
        <v>0.150441251387292</v>
      </c>
      <c r="AD381" s="5">
        <v>-0.20189609333980199</v>
      </c>
      <c r="AE381" s="5">
        <v>0.13283254878350401</v>
      </c>
      <c r="AF381" s="5">
        <v>2.2266841568035298E-3</v>
      </c>
      <c r="AG381" s="5">
        <v>6.2630404966051406E-2</v>
      </c>
      <c r="AH381" s="5">
        <v>-6.4108446779730698E-3</v>
      </c>
      <c r="AI381" s="5">
        <v>1.3418782827790699E-2</v>
      </c>
      <c r="AJ381" s="5">
        <v>-0.203247239787925</v>
      </c>
      <c r="AK381" s="5">
        <v>0.28617084862312098</v>
      </c>
      <c r="AL381" s="5">
        <v>1.2800644598161E-2</v>
      </c>
      <c r="AM381" s="5">
        <v>-5.2406638736262202E-2</v>
      </c>
      <c r="AN381" s="5">
        <v>-0.122587961346418</v>
      </c>
      <c r="AO381" s="5">
        <v>0.141086821527377</v>
      </c>
      <c r="AP381" s="5">
        <v>-4.3811462601690498E-2</v>
      </c>
      <c r="AQ381" s="5">
        <v>1.6850908520084799E-2</v>
      </c>
      <c r="AR381" s="5">
        <v>-1.9648824038318899E-2</v>
      </c>
      <c r="AS381" s="5">
        <v>-3.2357770258838299E-2</v>
      </c>
      <c r="AT381" s="5">
        <v>6.1656580496114496E-3</v>
      </c>
      <c r="AU381" s="5">
        <v>-5.71348969679333E-2</v>
      </c>
      <c r="AV381" s="5">
        <v>-0.10267418335419599</v>
      </c>
      <c r="AW381" s="5">
        <v>9.0873024306637004E-2</v>
      </c>
      <c r="AX381" s="5">
        <v>-0.19706783579267101</v>
      </c>
      <c r="AY381" s="5">
        <v>0.21434644518906801</v>
      </c>
      <c r="AZ381" s="5">
        <v>-0.179026249646459</v>
      </c>
      <c r="BA381" s="5">
        <v>0.21415241789807599</v>
      </c>
      <c r="BB381" s="5">
        <v>-0.17043644721506501</v>
      </c>
      <c r="BC381" s="5">
        <v>0.16381060469507999</v>
      </c>
      <c r="BD381" s="5">
        <v>-4.9811327802194098E-2</v>
      </c>
      <c r="BE381" s="5">
        <v>6.9639932510384306E-2</v>
      </c>
      <c r="BF381" s="5">
        <v>-0.150091924604288</v>
      </c>
      <c r="BG381" s="5">
        <v>0.18274685004735</v>
      </c>
      <c r="BH381" s="5">
        <v>-0.201517008507231</v>
      </c>
      <c r="BI381" s="5">
        <v>0.191520082031543</v>
      </c>
      <c r="BJ381" s="5">
        <v>4.7449636674220697E-2</v>
      </c>
      <c r="BK381" s="5">
        <v>-0.13970266265800399</v>
      </c>
      <c r="BL381" s="5">
        <v>-0.25692565828230002</v>
      </c>
      <c r="BM381" s="5">
        <v>0.287059993653146</v>
      </c>
      <c r="BN381" s="5">
        <v>0.240171866586285</v>
      </c>
      <c r="BO381" s="5">
        <v>-0.309442891634712</v>
      </c>
      <c r="BP381" s="5">
        <v>-2.17349632586404E-2</v>
      </c>
      <c r="BQ381" s="5">
        <v>5.7507965955415604E-3</v>
      </c>
      <c r="BR381" s="5">
        <v>-0.17438545032757699</v>
      </c>
      <c r="BS381" s="5">
        <v>0.139057607685695</v>
      </c>
      <c r="BT381" s="5">
        <v>-0.15263111405277499</v>
      </c>
      <c r="BU381" s="5">
        <v>0.14679652081863101</v>
      </c>
      <c r="BV381" s="5">
        <v>-0.21010821292999099</v>
      </c>
      <c r="BW381" s="5">
        <v>0.18384512737814501</v>
      </c>
      <c r="BX381" s="5">
        <v>-0.24890746099255301</v>
      </c>
      <c r="BY381" s="5">
        <v>0.21672973613883401</v>
      </c>
      <c r="BZ381" s="5">
        <v>-0.16039656137775801</v>
      </c>
      <c r="CA381" s="5">
        <v>0.124757978333585</v>
      </c>
      <c r="CB381" s="5">
        <v>-3.9849127403531401E-2</v>
      </c>
      <c r="CC381" s="5">
        <v>7.1962401022632405E-2</v>
      </c>
      <c r="CD381" s="5">
        <v>-0.13263366488668901</v>
      </c>
      <c r="CE381" s="5">
        <v>0.148084880453835</v>
      </c>
      <c r="CF381" s="5">
        <v>-7.8914082182651099E-2</v>
      </c>
      <c r="CG381" s="5">
        <v>4.4893752254958799E-2</v>
      </c>
      <c r="CH381" s="5">
        <v>1.9487073895886199E-2</v>
      </c>
      <c r="CI381" s="5">
        <v>-8.22584690218746E-2</v>
      </c>
      <c r="CJ381" s="5">
        <v>0.34871365942025501</v>
      </c>
      <c r="CK381" s="5">
        <v>-0.33575589137905298</v>
      </c>
      <c r="CL381" s="5">
        <v>-0.14597097471025</v>
      </c>
      <c r="CM381" s="5">
        <v>0.16856766538769999</v>
      </c>
      <c r="CN381" s="5">
        <v>-0.100769781862942</v>
      </c>
      <c r="CO381" s="5">
        <v>0.128891271576593</v>
      </c>
      <c r="CP381" s="5">
        <v>-0.29442459439782298</v>
      </c>
      <c r="CQ381" s="5">
        <v>0.26804418321464601</v>
      </c>
      <c r="CR381" s="5">
        <v>3.7998412669273701E-2</v>
      </c>
      <c r="CS381" s="5">
        <v>2.0114285362012999E-2</v>
      </c>
      <c r="CT381" s="5">
        <v>-1.14842893119242E-2</v>
      </c>
      <c r="CU381" s="5">
        <v>2.88650090377622E-2</v>
      </c>
      <c r="CV381" s="5">
        <v>-0.31747886486185201</v>
      </c>
      <c r="CW381" s="5">
        <v>0.364450076865665</v>
      </c>
      <c r="CX381" s="5">
        <v>-3.62912763878857E-2</v>
      </c>
      <c r="CY381" s="5">
        <v>1.74056212190726E-2</v>
      </c>
      <c r="CZ381" s="5">
        <v>-8.1891838863592803E-2</v>
      </c>
      <c r="DA381" s="5">
        <v>5.6953723544123001E-2</v>
      </c>
      <c r="DB381" s="5">
        <v>0.15451364606987</v>
      </c>
      <c r="DC381" s="5">
        <v>-0.18525400031431799</v>
      </c>
      <c r="DD381" s="5">
        <v>-0.29792303564954198</v>
      </c>
      <c r="DE381" s="5">
        <v>0.29521522088155899</v>
      </c>
      <c r="DF381" s="5">
        <v>-0.14135104990150299</v>
      </c>
      <c r="DG381" s="5">
        <v>0.15449743609535599</v>
      </c>
      <c r="DH381" s="5">
        <v>3.8839659621545702E-2</v>
      </c>
      <c r="DI381" s="5">
        <v>-2.9520366383215198E-2</v>
      </c>
      <c r="DJ381" s="5">
        <v>6.5676264665378903E-2</v>
      </c>
      <c r="DK381" s="5">
        <v>-7.4168290691830799E-2</v>
      </c>
      <c r="DL381" s="5">
        <v>-0.13764103134037201</v>
      </c>
      <c r="DM381" s="5">
        <v>0.13040428010419999</v>
      </c>
      <c r="DN381" s="5">
        <v>6.1319792093331597E-2</v>
      </c>
      <c r="DO381" s="5">
        <v>-4.20639469915354E-2</v>
      </c>
      <c r="DP381" s="5">
        <v>-0.150683650633297</v>
      </c>
      <c r="DQ381" s="5">
        <v>0.197145498707059</v>
      </c>
      <c r="DR381" s="5">
        <v>-5.9079323811621398E-2</v>
      </c>
      <c r="DS381" s="5">
        <v>8.6774863332784197E-2</v>
      </c>
      <c r="DT381" s="5">
        <v>-0.114257505212806</v>
      </c>
      <c r="DU381" s="5">
        <v>9.2860156613141606E-2</v>
      </c>
      <c r="DV381" s="5">
        <v>-0.26686158674888699</v>
      </c>
      <c r="DW381" s="5">
        <v>0.26700270230573497</v>
      </c>
      <c r="DX381" s="5">
        <v>-0.118014884191097</v>
      </c>
      <c r="DY381" s="5">
        <v>0.152126105809992</v>
      </c>
      <c r="DZ381" s="5">
        <v>9.7474010571650602E-3</v>
      </c>
      <c r="EA381" s="5">
        <v>-1.1814481906734699E-2</v>
      </c>
      <c r="EB381" s="5">
        <v>-0.18222111004340399</v>
      </c>
      <c r="EC381" s="5">
        <v>0.141789969872502</v>
      </c>
      <c r="ED381" s="5">
        <v>-0.25578500260832199</v>
      </c>
      <c r="EE381" s="5">
        <v>0.22168594576966499</v>
      </c>
      <c r="EF381" s="5">
        <v>4.6972737255913798E-2</v>
      </c>
      <c r="EG381" s="5">
        <v>1.421710947268E-2</v>
      </c>
      <c r="EH381" s="5">
        <v>-0.16402310694401501</v>
      </c>
      <c r="EI381" s="5">
        <v>0.11066812701938</v>
      </c>
      <c r="EJ381" s="5">
        <v>-0.16561592870365899</v>
      </c>
      <c r="EK381" s="5">
        <v>0.11946082964445801</v>
      </c>
      <c r="EL381" s="5">
        <v>-0.188388736794951</v>
      </c>
      <c r="EM381" s="5">
        <v>0.17199802919155799</v>
      </c>
      <c r="EN381" s="5">
        <v>0.12572447348649901</v>
      </c>
      <c r="EO381" s="5">
        <v>-0.130419850123772</v>
      </c>
      <c r="EP381" s="5">
        <v>-0.34029019947429401</v>
      </c>
      <c r="EQ381" s="5">
        <v>0.361201037759111</v>
      </c>
      <c r="ER381" s="5">
        <v>-0.11154775525280999</v>
      </c>
      <c r="ES381" s="5">
        <v>8.3888417801527296E-2</v>
      </c>
      <c r="ET381" s="5">
        <v>-6.7628744751239395E-2</v>
      </c>
      <c r="EU381" s="5">
        <v>0.10764395269707901</v>
      </c>
      <c r="EV381" s="5">
        <v>3.5103443134859497E-2</v>
      </c>
      <c r="EW381" s="5">
        <v>-7.9550023664296705E-3</v>
      </c>
      <c r="EX381" s="5">
        <v>-9.9548969461492304E-2</v>
      </c>
      <c r="EY381" s="5">
        <v>0.192066723670136</v>
      </c>
      <c r="EZ381" s="5">
        <v>-4.0626936611054598E-2</v>
      </c>
      <c r="FA381" s="5">
        <v>-4.5923517725665799E-3</v>
      </c>
      <c r="FB381" s="5">
        <v>-1.7847597181770699E-2</v>
      </c>
      <c r="FC381" s="5">
        <v>1.95724541570917E-2</v>
      </c>
      <c r="FD381" s="5">
        <v>-0.192110371402789</v>
      </c>
      <c r="FE381" s="5">
        <v>0.20701858796655401</v>
      </c>
      <c r="FF381" s="5">
        <v>-3.4589580596893203E-2</v>
      </c>
      <c r="FG381" s="5">
        <v>4.2181346253816997E-2</v>
      </c>
      <c r="FH381" s="5">
        <v>-0.19499164511699299</v>
      </c>
      <c r="FI381" s="5">
        <v>0.24284308882062799</v>
      </c>
      <c r="FJ381" s="5">
        <v>-0.223590501699336</v>
      </c>
      <c r="FK381" s="5">
        <v>0.25257808283355998</v>
      </c>
      <c r="FL381" s="5">
        <v>-0.124426262005099</v>
      </c>
      <c r="FM381" s="5">
        <v>0.135190782728461</v>
      </c>
      <c r="FN381" s="5">
        <v>-0.18176875766977901</v>
      </c>
      <c r="FO381" s="5">
        <v>0.222374253435104</v>
      </c>
      <c r="FP381" s="5">
        <v>-8.4365919433329398E-2</v>
      </c>
      <c r="FQ381" s="5">
        <v>0.104924387698143</v>
      </c>
      <c r="FR381" s="5">
        <v>7.75957700857446E-2</v>
      </c>
      <c r="FS381" s="5">
        <v>-0.115129496736825</v>
      </c>
      <c r="FT381" s="5">
        <v>0.23040140837409401</v>
      </c>
      <c r="FU381" s="5">
        <v>-0.23394845624795299</v>
      </c>
      <c r="FV381" s="5">
        <v>4.2910553531660497E-2</v>
      </c>
      <c r="FW381" s="5">
        <v>-6.6844148845313103E-2</v>
      </c>
      <c r="FX381" s="5">
        <v>0.110563523700263</v>
      </c>
      <c r="FY381" s="5">
        <v>-0.14682387835181299</v>
      </c>
      <c r="FZ381" s="5">
        <v>0.12780212441883401</v>
      </c>
      <c r="GA381" s="5">
        <v>-0.13629091092803</v>
      </c>
      <c r="GB381" s="5">
        <v>-9.3116514945560502E-2</v>
      </c>
      <c r="GC381" s="5">
        <v>0.149047723236301</v>
      </c>
      <c r="GD381" s="5">
        <v>0.19814220892689399</v>
      </c>
      <c r="GE381" s="5">
        <v>-0.26603771539645898</v>
      </c>
      <c r="GF381" s="5">
        <v>-3.6553791954595898E-2</v>
      </c>
      <c r="GG381" s="5">
        <v>7.9541284753616201E-2</v>
      </c>
      <c r="GH381" s="5">
        <v>0.13548153879205699</v>
      </c>
      <c r="GI381" s="5">
        <v>-0.18601228912572099</v>
      </c>
      <c r="GJ381" s="5">
        <v>8.68346075415838E-2</v>
      </c>
      <c r="GK381" s="5">
        <v>-0.124795994990737</v>
      </c>
      <c r="GL381" s="5">
        <v>-0.11832700373371199</v>
      </c>
      <c r="GM381" s="5">
        <v>0.198225966854817</v>
      </c>
      <c r="GN381" s="5">
        <v>-0.100841058419872</v>
      </c>
      <c r="GO381" s="5">
        <v>0.18249179737285501</v>
      </c>
      <c r="GP381" s="5">
        <v>-0.258140076509004</v>
      </c>
      <c r="GQ381" s="5">
        <v>0.32436581173999102</v>
      </c>
      <c r="GR381" s="5">
        <v>-5.4413530933874903E-2</v>
      </c>
      <c r="GS381" s="5">
        <v>5.7908474005719503E-2</v>
      </c>
      <c r="GT381" s="5">
        <v>0.21683185906740499</v>
      </c>
      <c r="GU381" s="5">
        <v>-0.26647079379815902</v>
      </c>
      <c r="GV381" s="5">
        <v>-0.26566638573470902</v>
      </c>
      <c r="GW381" s="5">
        <v>0.28297685919599203</v>
      </c>
      <c r="GX381" s="5">
        <v>4.64723166765438E-2</v>
      </c>
      <c r="GY381" s="5">
        <v>-5.8450940560827898E-2</v>
      </c>
      <c r="GZ381" s="5">
        <v>-0.25953495724173098</v>
      </c>
      <c r="HA381" s="5">
        <v>0.28808277194466198</v>
      </c>
      <c r="HB381" s="5">
        <v>-9.81315172338562E-2</v>
      </c>
      <c r="HC381" s="5">
        <v>0.14344030727708901</v>
      </c>
      <c r="HD381" s="5">
        <v>-4.27517818888659E-2</v>
      </c>
      <c r="HE381" s="5">
        <v>2.0776681618199001E-2</v>
      </c>
      <c r="HF381" s="5">
        <v>-1.33639274545506E-2</v>
      </c>
      <c r="HG381" s="5">
        <v>1.68275119231612E-3</v>
      </c>
      <c r="HH381" s="5">
        <v>-0.112164659762938</v>
      </c>
      <c r="HI381" s="5">
        <v>0.14772957543878101</v>
      </c>
      <c r="HJ381" s="5">
        <v>2.2068597796086699E-2</v>
      </c>
      <c r="HK381" s="5">
        <v>-3.3287178294226297E-2</v>
      </c>
      <c r="HL381" s="5">
        <v>9.8807029309027593E-3</v>
      </c>
      <c r="HM381" s="5">
        <v>1.48651686623841E-2</v>
      </c>
      <c r="HN381" s="5">
        <v>1.0440894768478899E-4</v>
      </c>
      <c r="HO381" s="5">
        <v>-3.5919191520457101E-3</v>
      </c>
      <c r="HP381" s="5">
        <v>5.3304834486921797E-2</v>
      </c>
      <c r="HQ381" s="5">
        <v>-8.7240981149090097E-2</v>
      </c>
      <c r="HR381" s="5">
        <v>-4.5794109003034197E-2</v>
      </c>
      <c r="HS381" s="5">
        <v>1.0065813255169E-4</v>
      </c>
      <c r="HT381" s="5">
        <v>-6.3205999220196901E-2</v>
      </c>
      <c r="HU381" s="5">
        <v>8.0558862191575806E-2</v>
      </c>
      <c r="HV381" s="5">
        <v>-0.23252164510964901</v>
      </c>
      <c r="HW381" s="5">
        <v>0.16797049491749999</v>
      </c>
      <c r="HX381" s="5">
        <v>-0.12801719899445299</v>
      </c>
      <c r="HY381" s="5">
        <v>0.14003830698249201</v>
      </c>
      <c r="HZ381" s="5">
        <v>-0.14571009967460399</v>
      </c>
      <c r="IA381" s="5">
        <v>0.16498143948799801</v>
      </c>
      <c r="IB381" s="5">
        <v>-4.4278669567254E-2</v>
      </c>
      <c r="IC381" s="5">
        <v>2.23073405191519E-2</v>
      </c>
      <c r="ID381" s="5">
        <v>-0.116432872279483</v>
      </c>
      <c r="IE381" s="5">
        <v>0.17269086402167799</v>
      </c>
      <c r="IF381" s="5">
        <v>-0.24499877611029899</v>
      </c>
      <c r="IG381" s="5">
        <v>0.20212810523069699</v>
      </c>
      <c r="IH381" s="5">
        <v>5.1019904373901005E-4</v>
      </c>
      <c r="II381" s="5">
        <v>4.9450932227503998E-2</v>
      </c>
      <c r="IJ381" s="5">
        <v>0.17629398347480801</v>
      </c>
      <c r="IK381" s="5">
        <v>-0.25604824790858999</v>
      </c>
      <c r="IL381" s="5">
        <v>-0.26315759304831399</v>
      </c>
      <c r="IM381" s="5">
        <v>0.36020616052502302</v>
      </c>
      <c r="IN381" s="5">
        <v>-0.13957506907634001</v>
      </c>
      <c r="IO381" s="5">
        <v>0.13265111826109399</v>
      </c>
      <c r="IP381" s="5">
        <v>-0.167043493395517</v>
      </c>
      <c r="IQ381" s="5">
        <v>0.170999614853385</v>
      </c>
      <c r="IR381" s="5">
        <v>0.188500830312849</v>
      </c>
      <c r="IS381" s="5">
        <v>-0.22358337111679999</v>
      </c>
      <c r="IT381" s="5">
        <v>-4.4645975797656001E-2</v>
      </c>
      <c r="IU381" s="5">
        <v>-1.0292685055531599E-2</v>
      </c>
      <c r="IV381" s="5">
        <v>-0.16369182706648</v>
      </c>
      <c r="IW381" s="5">
        <v>0.142551837798647</v>
      </c>
      <c r="IX381" s="5">
        <v>-0.134399684187827</v>
      </c>
      <c r="IY381" s="5">
        <v>0.112219812189316</v>
      </c>
      <c r="IZ381" s="5">
        <v>-7.3168708562644097E-2</v>
      </c>
      <c r="JA381" s="5">
        <v>0.10381002005583299</v>
      </c>
      <c r="JB381" s="5">
        <v>2.9941096680379201E-3</v>
      </c>
      <c r="JC381" s="5">
        <v>2.5709394193151301E-2</v>
      </c>
      <c r="JD381" s="5">
        <v>-3.3889171103916302E-2</v>
      </c>
      <c r="JE381" s="5">
        <v>6.2068639121001697E-2</v>
      </c>
      <c r="JF381" s="5">
        <v>-0.207504069162289</v>
      </c>
      <c r="JG381" s="5">
        <v>0.19643306903737001</v>
      </c>
      <c r="JH381" s="5">
        <v>3.8977456819323901E-2</v>
      </c>
      <c r="JI381" s="5">
        <v>-2.5718377102519702E-2</v>
      </c>
      <c r="JJ381" s="5">
        <v>-0.13648818831641299</v>
      </c>
      <c r="JK381" s="5">
        <v>0.146218423365786</v>
      </c>
      <c r="JL381" s="5">
        <v>-2.6177258867482098E-2</v>
      </c>
      <c r="JM381" s="5">
        <v>6.31940577203777E-2</v>
      </c>
      <c r="JN381" s="5">
        <v>-0.12616811789743601</v>
      </c>
      <c r="JO381" s="5">
        <v>0.136511132428701</v>
      </c>
      <c r="JP381" s="5">
        <v>3.02400759087223E-2</v>
      </c>
      <c r="JQ381" s="5">
        <v>-9.9520892480367301E-2</v>
      </c>
      <c r="JR381" s="5">
        <v>-1.4207895031362199E-2</v>
      </c>
      <c r="JS381" s="5">
        <v>-1.7776735759460899E-2</v>
      </c>
      <c r="JT381" s="5">
        <v>3.86290544677724E-2</v>
      </c>
      <c r="JU381" s="5">
        <v>-0.116228225848755</v>
      </c>
      <c r="JV381" s="5">
        <v>-0.26313312540271599</v>
      </c>
      <c r="JW381" s="5">
        <v>0.34947902592163299</v>
      </c>
      <c r="JX381" s="5">
        <v>-9.1534416206336303E-2</v>
      </c>
      <c r="JY381" s="5">
        <v>0.102398131454409</v>
      </c>
      <c r="JZ381" s="5">
        <v>-4.1172068284444002E-2</v>
      </c>
      <c r="KA381" s="5">
        <v>0.117604612873608</v>
      </c>
      <c r="KB381" s="5">
        <v>-9.0196028352850496E-2</v>
      </c>
      <c r="KC381" s="5">
        <v>9.5668018212097902E-2</v>
      </c>
      <c r="KD381" s="5">
        <v>0.135179430095975</v>
      </c>
      <c r="KE381" s="5">
        <v>-0.1449831772413</v>
      </c>
      <c r="KF381" s="5">
        <v>-0.311475160657948</v>
      </c>
      <c r="KG381" s="5">
        <v>0.28812154096266701</v>
      </c>
      <c r="KH381" s="5">
        <v>0.20964926986337001</v>
      </c>
      <c r="KI381" s="5">
        <v>-0.192842559160223</v>
      </c>
      <c r="KJ381" s="5">
        <v>-0.19826569822686099</v>
      </c>
      <c r="KK381" s="5">
        <v>0.27976581335553502</v>
      </c>
      <c r="KL381" s="5">
        <v>9.4241029886154806E-2</v>
      </c>
      <c r="KM381" s="5">
        <v>-0.179064916897645</v>
      </c>
      <c r="KN381" s="5">
        <v>-4.8048981802866E-2</v>
      </c>
      <c r="KO381" s="5">
        <v>5.0221567388715499E-2</v>
      </c>
      <c r="KP381" s="5">
        <v>5.2026774285106499E-2</v>
      </c>
      <c r="KQ381" s="5">
        <v>-0.11194862750185</v>
      </c>
      <c r="KR381" s="5">
        <v>-0.11920584038952201</v>
      </c>
      <c r="KS381" s="5">
        <v>0.114512508139844</v>
      </c>
      <c r="KT381" s="5">
        <v>-0.11591596611423501</v>
      </c>
      <c r="KU381" s="5">
        <v>0.15048433597296201</v>
      </c>
      <c r="KV381" s="5">
        <v>-0.19069519283088401</v>
      </c>
      <c r="KW381" s="5">
        <v>0.18469785216468601</v>
      </c>
      <c r="KX381" s="5">
        <v>-0.20203817458257201</v>
      </c>
      <c r="KY381" s="5">
        <v>0.13780178779650301</v>
      </c>
      <c r="KZ381" s="5">
        <v>-0.31165618008642898</v>
      </c>
      <c r="LA381" s="5">
        <v>0.41250320847239202</v>
      </c>
      <c r="LB381" s="5">
        <v>-0.24336516041953801</v>
      </c>
      <c r="LC381" s="5">
        <v>0.25488134180416799</v>
      </c>
      <c r="LD381" s="5">
        <v>-3.5406455593915399E-2</v>
      </c>
      <c r="LE381" s="5">
        <v>-2.4231602380280898E-2</v>
      </c>
      <c r="LF381" s="5">
        <v>-3.9052852857376801E-2</v>
      </c>
      <c r="LG381" s="5">
        <v>5.5142273242499401E-2</v>
      </c>
      <c r="LH381" s="5">
        <v>-6.8752324936205395E-2</v>
      </c>
      <c r="LI381" s="5">
        <v>6.4702036315332306E-2</v>
      </c>
      <c r="LJ381" s="5">
        <v>-4.3358069810677302E-2</v>
      </c>
      <c r="LK381" s="5">
        <v>5.5075373724401397E-2</v>
      </c>
      <c r="LL381" s="5">
        <v>-0.242923726132701</v>
      </c>
      <c r="LM381" s="5">
        <v>0.27288621567260901</v>
      </c>
      <c r="LN381" s="5">
        <v>-0.24494593308186299</v>
      </c>
      <c r="LO381" s="5">
        <v>0.27873572532853302</v>
      </c>
      <c r="LP381" s="5">
        <v>-2.5394092404602098E-2</v>
      </c>
      <c r="LQ381" s="5">
        <v>6.41429033674671E-2</v>
      </c>
      <c r="LR381" s="5">
        <v>-0.1303510315319</v>
      </c>
      <c r="LS381" s="5">
        <v>0.14273716779711401</v>
      </c>
      <c r="LT381" s="5">
        <v>-0.12003768184645899</v>
      </c>
      <c r="LU381" s="5">
        <v>0.14453389807412201</v>
      </c>
      <c r="LV381" s="5">
        <v>2.8444328100455201E-2</v>
      </c>
      <c r="LW381" s="5">
        <v>-7.0279828089207198E-3</v>
      </c>
      <c r="LX381" s="5">
        <v>0.101633934632007</v>
      </c>
      <c r="LY381" s="5">
        <v>-0.101767855835284</v>
      </c>
      <c r="LZ381" s="5">
        <v>-0.116239261472056</v>
      </c>
      <c r="MA381" s="5">
        <v>8.5645705354121304E-2</v>
      </c>
      <c r="MB381" s="5">
        <v>-0.222418500512235</v>
      </c>
      <c r="MC381" s="5">
        <v>0.18432828000576201</v>
      </c>
      <c r="MD381" s="5">
        <v>-2.12648664424126E-2</v>
      </c>
      <c r="ME381" s="5">
        <v>-5.0982857954955801E-3</v>
      </c>
      <c r="MF381" s="5">
        <v>2.7701872758809001E-2</v>
      </c>
      <c r="MG381" s="5">
        <v>-4.0825409844907699E-2</v>
      </c>
      <c r="MH381" s="5">
        <v>-0.26200853634595</v>
      </c>
      <c r="MI381" s="5">
        <v>0.38528894150624798</v>
      </c>
      <c r="MJ381" s="5">
        <v>-0.22266124648126201</v>
      </c>
      <c r="MK381" s="5">
        <v>0.28062978463669602</v>
      </c>
      <c r="ML381" s="5">
        <v>-0.34873760534582199</v>
      </c>
      <c r="MM381" s="5">
        <v>0.48446080928581903</v>
      </c>
      <c r="MN381" s="5">
        <v>-0.29484529576162</v>
      </c>
      <c r="MO381" s="5">
        <v>0.26291132987148602</v>
      </c>
      <c r="MP381" s="5">
        <v>0.13183148723377</v>
      </c>
      <c r="MQ381" s="5">
        <v>-0.12651108322532501</v>
      </c>
      <c r="MR381" s="5">
        <v>-2.5505338049363599E-2</v>
      </c>
      <c r="MS381" s="5">
        <v>3.7577560580208599E-2</v>
      </c>
      <c r="MT381" s="5">
        <v>-0.34380653328690802</v>
      </c>
      <c r="MU381" s="5">
        <v>0.36588278939068303</v>
      </c>
      <c r="MV381" s="5">
        <v>-6.8445727576825294E-2</v>
      </c>
      <c r="MW381" s="5">
        <v>0.13063235607385601</v>
      </c>
      <c r="MX381" s="5">
        <v>-9.9849295635393104E-2</v>
      </c>
      <c r="MY381" s="5">
        <v>0.13549753120125499</v>
      </c>
      <c r="MZ381" s="5">
        <v>-0.13459266480867299</v>
      </c>
      <c r="NA381" s="5">
        <v>0.18003361017684</v>
      </c>
      <c r="NB381" s="5">
        <v>-3.9053487595276902E-2</v>
      </c>
      <c r="NC381" s="5">
        <v>2.3971851736448901E-2</v>
      </c>
      <c r="ND381" s="5">
        <v>-2.2757847557281202E-2</v>
      </c>
      <c r="NE381" s="5">
        <v>-9.8607516255526301E-2</v>
      </c>
      <c r="NF381" s="5">
        <v>1.16043737527668E-2</v>
      </c>
      <c r="NG381" s="5">
        <v>-5.33098375550458E-2</v>
      </c>
      <c r="NH381" s="5">
        <v>3.9792527261689296E-3</v>
      </c>
      <c r="NI381" s="5">
        <v>8.8935974051558408E-3</v>
      </c>
      <c r="NJ381" s="5">
        <v>-0.23762947658283201</v>
      </c>
      <c r="NK381" s="5">
        <v>0.23778482519705799</v>
      </c>
      <c r="NL381" s="5">
        <v>-7.3891892461261599E-2</v>
      </c>
      <c r="NM381" s="5">
        <v>0.10294564709734801</v>
      </c>
      <c r="NN381" s="5">
        <v>-1.2047679862236999E-2</v>
      </c>
      <c r="NO381" s="5">
        <v>3.6466258564856101E-2</v>
      </c>
      <c r="NP381" s="5">
        <v>-0.86815633539575099</v>
      </c>
      <c r="NQ381" s="5">
        <v>1</v>
      </c>
      <c r="NR381" s="5"/>
      <c r="NS381" s="5"/>
      <c r="NT381" s="5"/>
      <c r="NU381" s="5"/>
      <c r="NV381" s="5"/>
      <c r="NW381" s="5"/>
      <c r="NX381" s="5"/>
      <c r="NY381" s="5"/>
    </row>
    <row r="382" spans="1:389" x14ac:dyDescent="0.45">
      <c r="A382" s="4" t="str">
        <f ca="1">"YEM / beta1dist in "&amp;CELL("address",'damages-1990'!$J$192)</f>
        <v>YEM / beta1dist in '[BHM betas v3pd.xlsx]damages-1990'!$J$192</v>
      </c>
      <c r="B382" s="6">
        <v>0.31996909045229499</v>
      </c>
      <c r="C382" s="5">
        <v>6.8529518564135597E-2</v>
      </c>
      <c r="D382" s="5">
        <v>0.59703838061180903</v>
      </c>
      <c r="E382" s="5">
        <v>-0.28709862707239903</v>
      </c>
      <c r="F382" s="5">
        <v>0.20381285331820001</v>
      </c>
      <c r="G382" s="5">
        <v>0.103840870407195</v>
      </c>
      <c r="H382" s="5">
        <v>-0.34224824238993101</v>
      </c>
      <c r="I382" s="5">
        <v>0.382646492064042</v>
      </c>
      <c r="J382" s="5">
        <v>0.69834431543127995</v>
      </c>
      <c r="K382" s="5">
        <v>-0.38571039079661401</v>
      </c>
      <c r="L382" s="5">
        <v>0.51490013317132399</v>
      </c>
      <c r="M382" s="5">
        <v>-0.18435199261386201</v>
      </c>
      <c r="N382" s="5">
        <v>-7.7253694666637299E-2</v>
      </c>
      <c r="O382" s="5">
        <v>0.15128186469572799</v>
      </c>
      <c r="P382" s="5">
        <v>0.40467369863810099</v>
      </c>
      <c r="Q382" s="5">
        <v>-0.25139030475475199</v>
      </c>
      <c r="R382" s="5">
        <v>0.54552128195489002</v>
      </c>
      <c r="S382" s="5">
        <v>-0.21564047452261101</v>
      </c>
      <c r="T382" s="5">
        <v>-5.3857812771223298E-2</v>
      </c>
      <c r="U382" s="5">
        <v>8.5062779612394807E-2</v>
      </c>
      <c r="V382" s="5">
        <v>0.26462948748848503</v>
      </c>
      <c r="W382" s="5">
        <v>0.18368501881520699</v>
      </c>
      <c r="X382" s="5">
        <v>0.55531816028038306</v>
      </c>
      <c r="Y382" s="5">
        <v>-0.236030078444258</v>
      </c>
      <c r="Z382" s="5">
        <v>-4.9958585265999098E-2</v>
      </c>
      <c r="AA382" s="5">
        <v>0.20569717276654301</v>
      </c>
      <c r="AB382" s="5">
        <v>0.54146378299487896</v>
      </c>
      <c r="AC382" s="5">
        <v>-0.36190370565741498</v>
      </c>
      <c r="AD382" s="5">
        <v>0.54352208512621902</v>
      </c>
      <c r="AE382" s="5">
        <v>-0.30630258410042199</v>
      </c>
      <c r="AF382" s="5">
        <v>0.52253229054941797</v>
      </c>
      <c r="AG382" s="5">
        <v>-0.26680233248491297</v>
      </c>
      <c r="AH382" s="5">
        <v>0.142922338662442</v>
      </c>
      <c r="AI382" s="5">
        <v>0.112130246690997</v>
      </c>
      <c r="AJ382" s="5">
        <v>0.63862688080568497</v>
      </c>
      <c r="AK382" s="5">
        <v>-0.31172722171973599</v>
      </c>
      <c r="AL382" s="5">
        <v>0.24680923440704</v>
      </c>
      <c r="AM382" s="5">
        <v>-3.1607742003851601E-2</v>
      </c>
      <c r="AN382" s="5">
        <v>8.2353977213343296E-2</v>
      </c>
      <c r="AO382" s="5">
        <v>6.1367821244327901E-2</v>
      </c>
      <c r="AP382" s="5">
        <v>-2.3417634328793901E-2</v>
      </c>
      <c r="AQ382" s="5">
        <v>4.9078529552129602E-2</v>
      </c>
      <c r="AR382" s="5">
        <v>0.46473146057221099</v>
      </c>
      <c r="AS382" s="5">
        <v>-0.18036261785381599</v>
      </c>
      <c r="AT382" s="5">
        <v>0.25822724929035501</v>
      </c>
      <c r="AU382" s="5">
        <v>-2.4942948288704001E-2</v>
      </c>
      <c r="AV382" s="5">
        <v>0.62640187945014703</v>
      </c>
      <c r="AW382" s="5">
        <v>-0.31723207169532502</v>
      </c>
      <c r="AX382" s="5">
        <v>0.66728275241939905</v>
      </c>
      <c r="AY382" s="5">
        <v>-0.37808949542602399</v>
      </c>
      <c r="AZ382" s="5">
        <v>0.52585815771202704</v>
      </c>
      <c r="BA382" s="5">
        <v>-0.39322131284360201</v>
      </c>
      <c r="BB382" s="5">
        <v>0.602714958421388</v>
      </c>
      <c r="BC382" s="5">
        <v>-0.31802866358376503</v>
      </c>
      <c r="BD382" s="5">
        <v>0.129994760798012</v>
      </c>
      <c r="BE382" s="5">
        <v>0.26891884476161498</v>
      </c>
      <c r="BF382" s="5">
        <v>0.51672192975078401</v>
      </c>
      <c r="BG382" s="5">
        <v>-0.22725044209741299</v>
      </c>
      <c r="BH382" s="5">
        <v>0.66771320638255605</v>
      </c>
      <c r="BI382" s="5">
        <v>-0.42519686895444803</v>
      </c>
      <c r="BJ382" s="5">
        <v>-0.306076931736529</v>
      </c>
      <c r="BK382" s="5">
        <v>0.255459354245403</v>
      </c>
      <c r="BL382" s="5">
        <v>-0.125468640870112</v>
      </c>
      <c r="BM382" s="5">
        <v>0.14376531398248099</v>
      </c>
      <c r="BN382" s="5">
        <v>-0.14115442750811499</v>
      </c>
      <c r="BO382" s="5">
        <v>0.34490121102934801</v>
      </c>
      <c r="BP382" s="5">
        <v>-0.20242779924488699</v>
      </c>
      <c r="BQ382" s="5">
        <v>0.45816908379735599</v>
      </c>
      <c r="BR382" s="5">
        <v>0.54597887960037195</v>
      </c>
      <c r="BS382" s="5">
        <v>-0.35570151980090903</v>
      </c>
      <c r="BT382" s="5">
        <v>0.65445737717698504</v>
      </c>
      <c r="BU382" s="5">
        <v>-0.41329666704187601</v>
      </c>
      <c r="BV382" s="5">
        <v>0.61241432519921601</v>
      </c>
      <c r="BW382" s="5">
        <v>-0.33686579124768701</v>
      </c>
      <c r="BX382" s="5">
        <v>0.55375885431168603</v>
      </c>
      <c r="BY382" s="5">
        <v>-0.33014139142535198</v>
      </c>
      <c r="BZ382" s="5">
        <v>0.687874721712607</v>
      </c>
      <c r="CA382" s="5">
        <v>-0.424423268025722</v>
      </c>
      <c r="CB382" s="5">
        <v>0.30777601789985298</v>
      </c>
      <c r="CC382" s="5">
        <v>-0.122278819736306</v>
      </c>
      <c r="CD382" s="5">
        <v>0.355478432026684</v>
      </c>
      <c r="CE382" s="5">
        <v>-0.17231361934553999</v>
      </c>
      <c r="CF382" s="5">
        <v>0.52975723700931099</v>
      </c>
      <c r="CG382" s="5">
        <v>-0.31102048517640901</v>
      </c>
      <c r="CH382" s="5">
        <v>0.14019308822753199</v>
      </c>
      <c r="CI382" s="5">
        <v>5.6404078084362499E-2</v>
      </c>
      <c r="CJ382" s="5">
        <v>0.28868528174033697</v>
      </c>
      <c r="CK382" s="5">
        <v>-3.07919832051509E-4</v>
      </c>
      <c r="CL382" s="5">
        <v>-1.2548581809299301E-2</v>
      </c>
      <c r="CM382" s="5">
        <v>9.2135452406515397E-2</v>
      </c>
      <c r="CN382" s="5">
        <v>-3.6509142235413801E-2</v>
      </c>
      <c r="CO382" s="5">
        <v>0.15729323276527299</v>
      </c>
      <c r="CP382" s="5">
        <v>0.74910739240898205</v>
      </c>
      <c r="CQ382" s="5">
        <v>-0.490854642342963</v>
      </c>
      <c r="CR382" s="5">
        <v>0.42375163888690298</v>
      </c>
      <c r="CS382" s="5">
        <v>-0.26388428912004702</v>
      </c>
      <c r="CT382" s="5">
        <v>-7.0994595257080198E-2</v>
      </c>
      <c r="CU382" s="5">
        <v>0.11784285502870499</v>
      </c>
      <c r="CV382" s="5">
        <v>0.34922412955771498</v>
      </c>
      <c r="CW382" s="5">
        <v>-0.152797125228887</v>
      </c>
      <c r="CX382" s="5">
        <v>0.55804694093896201</v>
      </c>
      <c r="CY382" s="5">
        <v>-0.22481572056807</v>
      </c>
      <c r="CZ382" s="5">
        <v>0.58897599041968995</v>
      </c>
      <c r="DA382" s="5">
        <v>-0.30552077707870001</v>
      </c>
      <c r="DB382" s="5">
        <v>0.49998846138219599</v>
      </c>
      <c r="DC382" s="5">
        <v>-6.04712330284514E-2</v>
      </c>
      <c r="DD382" s="5">
        <v>0.71455981636027899</v>
      </c>
      <c r="DE382" s="5">
        <v>-0.43027832798770699</v>
      </c>
      <c r="DF382" s="5">
        <v>0.64500874013570098</v>
      </c>
      <c r="DG382" s="5">
        <v>-0.37590604064870498</v>
      </c>
      <c r="DH382" s="5">
        <v>0.40288950635408599</v>
      </c>
      <c r="DI382" s="5">
        <v>-9.4328071536107894E-2</v>
      </c>
      <c r="DJ382" s="5">
        <v>-9.7329848458097307E-2</v>
      </c>
      <c r="DK382" s="5">
        <v>0.102872648386302</v>
      </c>
      <c r="DL382" s="5">
        <v>0.70463990518434605</v>
      </c>
      <c r="DM382" s="5">
        <v>-0.42027088956765202</v>
      </c>
      <c r="DN382" s="5">
        <v>-0.21691283213419299</v>
      </c>
      <c r="DO382" s="5">
        <v>0.16925117682221499</v>
      </c>
      <c r="DP382" s="5">
        <v>0.33723701514251397</v>
      </c>
      <c r="DQ382" s="5">
        <v>-9.3179135717438702E-2</v>
      </c>
      <c r="DR382" s="5">
        <v>7.2101135371264405E-2</v>
      </c>
      <c r="DS382" s="5">
        <v>0.17622292259809699</v>
      </c>
      <c r="DT382" s="5">
        <v>0.50830217208003403</v>
      </c>
      <c r="DU382" s="5">
        <v>-0.36511882859649297</v>
      </c>
      <c r="DV382" s="5">
        <v>0.421064696949706</v>
      </c>
      <c r="DW382" s="5">
        <v>-0.225842190575121</v>
      </c>
      <c r="DX382" s="5">
        <v>-0.16615005891283699</v>
      </c>
      <c r="DY382" s="5">
        <v>0.22675767601010899</v>
      </c>
      <c r="DZ382" s="5">
        <v>-4.3653573363179099E-2</v>
      </c>
      <c r="EA382" s="5">
        <v>0.13135884785870999</v>
      </c>
      <c r="EB382" s="5">
        <v>0.62545794196844995</v>
      </c>
      <c r="EC382" s="5">
        <v>-0.39446443374641998</v>
      </c>
      <c r="ED382" s="5">
        <v>0.62104846576508099</v>
      </c>
      <c r="EE382" s="5">
        <v>-0.37274048827171002</v>
      </c>
      <c r="EF382" s="5">
        <v>0.40652650226415998</v>
      </c>
      <c r="EG382" s="5">
        <v>-0.252522898354893</v>
      </c>
      <c r="EH382" s="5">
        <v>0.72606587794182198</v>
      </c>
      <c r="EI382" s="5">
        <v>-0.43597018096607898</v>
      </c>
      <c r="EJ382" s="5">
        <v>0.71078002232655701</v>
      </c>
      <c r="EK382" s="5">
        <v>-0.413533954094156</v>
      </c>
      <c r="EL382" s="5">
        <v>0.67051491424756604</v>
      </c>
      <c r="EM382" s="5">
        <v>-0.46241347824062001</v>
      </c>
      <c r="EN382" s="5">
        <v>0.26912221063524</v>
      </c>
      <c r="EO382" s="5">
        <v>6.8861903065432994E-2</v>
      </c>
      <c r="EP382" s="5">
        <v>0.51803658843233402</v>
      </c>
      <c r="EQ382" s="5">
        <v>-0.36767116995805099</v>
      </c>
      <c r="ER382" s="5">
        <v>0.48071530681309799</v>
      </c>
      <c r="ES382" s="5">
        <v>-0.15922410255306599</v>
      </c>
      <c r="ET382" s="5">
        <v>0.461075173730356</v>
      </c>
      <c r="EU382" s="5">
        <v>-0.25512107889487601</v>
      </c>
      <c r="EV382" s="5">
        <v>0.55934141169881801</v>
      </c>
      <c r="EW382" s="5">
        <v>-0.32916151730367399</v>
      </c>
      <c r="EX382" s="5">
        <v>0.43302522561135298</v>
      </c>
      <c r="EY382" s="5">
        <v>-0.25109937621258999</v>
      </c>
      <c r="EZ382" s="5">
        <v>0.49290132263181302</v>
      </c>
      <c r="FA382" s="5">
        <v>-0.204086163266022</v>
      </c>
      <c r="FB382" s="5">
        <v>0.17968824474195599</v>
      </c>
      <c r="FC382" s="5">
        <v>5.8533721264870102E-2</v>
      </c>
      <c r="FD382" s="5">
        <v>0.29607974759718703</v>
      </c>
      <c r="FE382" s="5">
        <v>-8.9578161653955907E-2</v>
      </c>
      <c r="FF382" s="5">
        <v>0.15262876435952499</v>
      </c>
      <c r="FG382" s="5">
        <v>3.6520589660387702E-2</v>
      </c>
      <c r="FH382" s="5">
        <v>0.57594352420899597</v>
      </c>
      <c r="FI382" s="5">
        <v>-0.40164420450777499</v>
      </c>
      <c r="FJ382" s="5">
        <v>0.53216932211901902</v>
      </c>
      <c r="FK382" s="5">
        <v>-0.15005106124952999</v>
      </c>
      <c r="FL382" s="5">
        <v>-0.13680765937271699</v>
      </c>
      <c r="FM382" s="5">
        <v>0.196017296476659</v>
      </c>
      <c r="FN382" s="5">
        <v>0.50776070516403304</v>
      </c>
      <c r="FO382" s="5">
        <v>-0.136761431565984</v>
      </c>
      <c r="FP382" s="5">
        <v>0.59560393884462104</v>
      </c>
      <c r="FQ382" s="5">
        <v>-0.23708352370414101</v>
      </c>
      <c r="FR382" s="5">
        <v>-0.37866901880357001</v>
      </c>
      <c r="FS382" s="5">
        <v>0.28721240826021299</v>
      </c>
      <c r="FT382" s="5">
        <v>0.58799293478677905</v>
      </c>
      <c r="FU382" s="5">
        <v>-0.18105671345343499</v>
      </c>
      <c r="FV382" s="5">
        <v>0.28391329886106098</v>
      </c>
      <c r="FW382" s="5">
        <v>4.0430935268041196E-3</v>
      </c>
      <c r="FX382" s="5">
        <v>0.418700268984325</v>
      </c>
      <c r="FY382" s="5">
        <v>-0.21281615551125099</v>
      </c>
      <c r="FZ382" s="5">
        <v>0.63183349095837804</v>
      </c>
      <c r="GA382" s="5">
        <v>-0.209283050347602</v>
      </c>
      <c r="GB382" s="5">
        <v>0.13877716597093001</v>
      </c>
      <c r="GC382" s="5">
        <v>0.16582150460303199</v>
      </c>
      <c r="GD382" s="5">
        <v>-0.20482135685056099</v>
      </c>
      <c r="GE382" s="5">
        <v>0.242797555763167</v>
      </c>
      <c r="GF382" s="5">
        <v>0.46628824872038799</v>
      </c>
      <c r="GG382" s="5">
        <v>-0.23073204007091</v>
      </c>
      <c r="GH382" s="5">
        <v>-0.45614213217718302</v>
      </c>
      <c r="GI382" s="5">
        <v>0.45755428671843901</v>
      </c>
      <c r="GJ382" s="5">
        <v>0.57802970838166601</v>
      </c>
      <c r="GK382" s="5">
        <v>-0.382997628984178</v>
      </c>
      <c r="GL382" s="5">
        <v>0.47128037834259701</v>
      </c>
      <c r="GM382" s="5">
        <v>-0.30849266919222001</v>
      </c>
      <c r="GN382" s="5">
        <v>0.207344493245708</v>
      </c>
      <c r="GO382" s="5">
        <v>9.6453264676636202E-2</v>
      </c>
      <c r="GP382" s="5">
        <v>0.65409808603917097</v>
      </c>
      <c r="GQ382" s="5">
        <v>-0.30533117315783398</v>
      </c>
      <c r="GR382" s="5">
        <v>0.61506592091256296</v>
      </c>
      <c r="GS382" s="5">
        <v>-0.44664969333864402</v>
      </c>
      <c r="GT382" s="5">
        <v>0.48467334825809599</v>
      </c>
      <c r="GU382" s="5">
        <v>-0.110838173578493</v>
      </c>
      <c r="GV382" s="5">
        <v>0.42381842923498803</v>
      </c>
      <c r="GW382" s="5">
        <v>-0.28120275185395999</v>
      </c>
      <c r="GX382" s="5">
        <v>0.44116073476602402</v>
      </c>
      <c r="GY382" s="5">
        <v>-0.105214933953148</v>
      </c>
      <c r="GZ382" s="5">
        <v>-0.112952122238424</v>
      </c>
      <c r="HA382" s="5">
        <v>0.13405354422205201</v>
      </c>
      <c r="HB382" s="5">
        <v>0.52250066371102599</v>
      </c>
      <c r="HC382" s="5">
        <v>-0.307624310810514</v>
      </c>
      <c r="HD382" s="5">
        <v>0.18755271335642401</v>
      </c>
      <c r="HE382" s="5">
        <v>0.216205024007811</v>
      </c>
      <c r="HF382" s="5">
        <v>-4.1073801062511801E-2</v>
      </c>
      <c r="HG382" s="5">
        <v>6.6472816500576404E-2</v>
      </c>
      <c r="HH382" s="5">
        <v>-6.8435455100357895E-2</v>
      </c>
      <c r="HI382" s="5">
        <v>0.21160292996256</v>
      </c>
      <c r="HJ382" s="5">
        <v>-7.4607304275321695E-2</v>
      </c>
      <c r="HK382" s="5">
        <v>8.6900408825066E-2</v>
      </c>
      <c r="HL382" s="5">
        <v>0.67010412518510198</v>
      </c>
      <c r="HM382" s="5">
        <v>-0.37620529560531901</v>
      </c>
      <c r="HN382" s="5">
        <v>0.11633225794058399</v>
      </c>
      <c r="HO382" s="5">
        <v>6.7680573579070993E-2</v>
      </c>
      <c r="HP382" s="5">
        <v>0.43948357637643198</v>
      </c>
      <c r="HQ382" s="5">
        <v>-0.12998833769069101</v>
      </c>
      <c r="HR382" s="5">
        <v>0.59812880884198205</v>
      </c>
      <c r="HS382" s="5">
        <v>-0.30784165388288798</v>
      </c>
      <c r="HT382" s="5">
        <v>0.12439112317138901</v>
      </c>
      <c r="HU382" s="5">
        <v>0.107415546056356</v>
      </c>
      <c r="HV382" s="5">
        <v>0.49444983483249</v>
      </c>
      <c r="HW382" s="5">
        <v>-0.21716171251001601</v>
      </c>
      <c r="HX382" s="5">
        <v>0.65275470540856695</v>
      </c>
      <c r="HY382" s="5">
        <v>-0.43313833317788197</v>
      </c>
      <c r="HZ382" s="5">
        <v>2.07177383876226E-2</v>
      </c>
      <c r="IA382" s="5">
        <v>8.74689925293647E-2</v>
      </c>
      <c r="IB382" s="5">
        <v>-0.36137626832494602</v>
      </c>
      <c r="IC382" s="5">
        <v>0.35642285679906199</v>
      </c>
      <c r="ID382" s="5">
        <v>0.54527895093198797</v>
      </c>
      <c r="IE382" s="5">
        <v>-0.20970844389266</v>
      </c>
      <c r="IF382" s="5">
        <v>0.61935440014700205</v>
      </c>
      <c r="IG382" s="5">
        <v>-0.33388950800552297</v>
      </c>
      <c r="IH382" s="5">
        <v>0.46586501150225601</v>
      </c>
      <c r="II382" s="5">
        <v>-0.31767093211296199</v>
      </c>
      <c r="IJ382" s="5">
        <v>0.21064167736286599</v>
      </c>
      <c r="IK382" s="5">
        <v>-7.1048865863157895E-2</v>
      </c>
      <c r="IL382" s="5">
        <v>0.61063920429277596</v>
      </c>
      <c r="IM382" s="5">
        <v>-0.30353498756562702</v>
      </c>
      <c r="IN382" s="5">
        <v>0.63685381755287696</v>
      </c>
      <c r="IO382" s="5">
        <v>-0.41793398209700799</v>
      </c>
      <c r="IP382" s="5">
        <v>0.61012590123627397</v>
      </c>
      <c r="IQ382" s="5">
        <v>-0.26030015876684098</v>
      </c>
      <c r="IR382" s="5">
        <v>0.21647079972810401</v>
      </c>
      <c r="IS382" s="5">
        <v>9.2533544515082597E-2</v>
      </c>
      <c r="IT382" s="5">
        <v>0.445043512341739</v>
      </c>
      <c r="IU382" s="5">
        <v>-0.151497758361688</v>
      </c>
      <c r="IV382" s="5">
        <v>0.420847902902028</v>
      </c>
      <c r="IW382" s="5">
        <v>-0.21203650149554301</v>
      </c>
      <c r="IX382" s="5">
        <v>0.52782983139947104</v>
      </c>
      <c r="IY382" s="5">
        <v>-0.29264918387224398</v>
      </c>
      <c r="IZ382" s="5">
        <v>-4.6787257520558997E-2</v>
      </c>
      <c r="JA382" s="5">
        <v>0.17198696395191601</v>
      </c>
      <c r="JB382" s="5">
        <v>-0.17983726957857901</v>
      </c>
      <c r="JC382" s="5">
        <v>0.103159673106235</v>
      </c>
      <c r="JD382" s="5">
        <v>0.34218336195702997</v>
      </c>
      <c r="JE382" s="5">
        <v>6.8333708023370701E-2</v>
      </c>
      <c r="JF382" s="5">
        <v>0.40505079434159902</v>
      </c>
      <c r="JG382" s="5">
        <v>-0.30778434715173397</v>
      </c>
      <c r="JH382" s="5">
        <v>0.232720648368682</v>
      </c>
      <c r="JI382" s="5">
        <v>-0.14042255587250299</v>
      </c>
      <c r="JJ382" s="5">
        <v>0.78130973992983999</v>
      </c>
      <c r="JK382" s="5">
        <v>-0.44521800333647898</v>
      </c>
      <c r="JL382" s="5">
        <v>0.56433454974126496</v>
      </c>
      <c r="JM382" s="5">
        <v>-0.202719307503643</v>
      </c>
      <c r="JN382" s="5">
        <v>0.49469723989751502</v>
      </c>
      <c r="JO382" s="5">
        <v>-0.26639260596960501</v>
      </c>
      <c r="JP382" s="5">
        <v>0.68691837456968696</v>
      </c>
      <c r="JQ382" s="5">
        <v>-0.38321228346414798</v>
      </c>
      <c r="JR382" s="5">
        <v>0.460599728939596</v>
      </c>
      <c r="JS382" s="5">
        <v>-0.19339724647492801</v>
      </c>
      <c r="JT382" s="5">
        <v>0.34135967313533899</v>
      </c>
      <c r="JU382" s="5">
        <v>-0.17521779191685499</v>
      </c>
      <c r="JV382" s="5">
        <v>0.59269169972324198</v>
      </c>
      <c r="JW382" s="5">
        <v>-0.34617561289058701</v>
      </c>
      <c r="JX382" s="5">
        <v>1.51007021441831E-2</v>
      </c>
      <c r="JY382" s="5">
        <v>6.5162544035572506E-2</v>
      </c>
      <c r="JZ382" s="5">
        <v>0.42794616272114799</v>
      </c>
      <c r="KA382" s="5">
        <v>-0.23620503355435499</v>
      </c>
      <c r="KB382" s="5">
        <v>-0.15276786866690201</v>
      </c>
      <c r="KC382" s="5">
        <v>0.23590493966109</v>
      </c>
      <c r="KD382" s="5">
        <v>0.48367128038641599</v>
      </c>
      <c r="KE382" s="5">
        <v>-0.188529803322766</v>
      </c>
      <c r="KF382" s="5">
        <v>0.49176781160008398</v>
      </c>
      <c r="KG382" s="5">
        <v>-0.20552798359407401</v>
      </c>
      <c r="KH382" s="5">
        <v>0.56571219812509599</v>
      </c>
      <c r="KI382" s="5">
        <v>-0.154175439199946</v>
      </c>
      <c r="KJ382" s="5">
        <v>0.66470602034354398</v>
      </c>
      <c r="KK382" s="5">
        <v>-0.33615114842965299</v>
      </c>
      <c r="KL382" s="5">
        <v>0.17951382291578999</v>
      </c>
      <c r="KM382" s="5">
        <v>6.2171531573178701E-2</v>
      </c>
      <c r="KN382" s="5">
        <v>6.9992478261847998E-2</v>
      </c>
      <c r="KO382" s="5">
        <v>7.9209535582752497E-2</v>
      </c>
      <c r="KP382" s="5">
        <v>-0.418409807743435</v>
      </c>
      <c r="KQ382" s="5">
        <v>0.326602351251569</v>
      </c>
      <c r="KR382" s="5">
        <v>0.56923986046429098</v>
      </c>
      <c r="KS382" s="5">
        <v>-0.298706039242016</v>
      </c>
      <c r="KT382" s="5">
        <v>0.80823419222384296</v>
      </c>
      <c r="KU382" s="5">
        <v>-0.512567349411997</v>
      </c>
      <c r="KV382" s="5">
        <v>0.61519721601034905</v>
      </c>
      <c r="KW382" s="5">
        <v>-0.32435967517647202</v>
      </c>
      <c r="KX382" s="5">
        <v>0.67896477575520198</v>
      </c>
      <c r="KY382" s="5">
        <v>-0.382845096054934</v>
      </c>
      <c r="KZ382" s="5">
        <v>0.373483123584684</v>
      </c>
      <c r="LA382" s="5">
        <v>-0.217243933179251</v>
      </c>
      <c r="LB382" s="5">
        <v>0.72234478024353899</v>
      </c>
      <c r="LC382" s="5">
        <v>-0.48387721069983403</v>
      </c>
      <c r="LD382" s="5">
        <v>0.43937439828914698</v>
      </c>
      <c r="LE382" s="5">
        <v>-0.157790675665717</v>
      </c>
      <c r="LF382" s="5">
        <v>0.152603559619647</v>
      </c>
      <c r="LG382" s="5">
        <v>0.102393964505522</v>
      </c>
      <c r="LH382" s="5">
        <v>0.69637914919134503</v>
      </c>
      <c r="LI382" s="5">
        <v>-0.43794418570912502</v>
      </c>
      <c r="LJ382" s="5">
        <v>0.160484346619753</v>
      </c>
      <c r="LK382" s="5">
        <v>7.5408415196260001E-2</v>
      </c>
      <c r="LL382" s="5">
        <v>0.55685194420778505</v>
      </c>
      <c r="LM382" s="5">
        <v>-0.34806181999116798</v>
      </c>
      <c r="LN382" s="5">
        <v>0.46524426818634701</v>
      </c>
      <c r="LO382" s="5">
        <v>-0.26943252662191303</v>
      </c>
      <c r="LP382" s="5">
        <v>0.51574532898584502</v>
      </c>
      <c r="LQ382" s="5">
        <v>-0.35631221599242602</v>
      </c>
      <c r="LR382" s="5">
        <v>5.6933357188378702E-3</v>
      </c>
      <c r="LS382" s="5">
        <v>5.8087729287034498E-2</v>
      </c>
      <c r="LT382" s="5">
        <v>4.8500613496936198E-2</v>
      </c>
      <c r="LU382" s="5">
        <v>6.7990525243939504E-2</v>
      </c>
      <c r="LV382" s="5">
        <v>-0.15816255906506399</v>
      </c>
      <c r="LW382" s="5">
        <v>0.119194542289505</v>
      </c>
      <c r="LX382" s="5">
        <v>0.56028611321787003</v>
      </c>
      <c r="LY382" s="5">
        <v>-0.188069408615123</v>
      </c>
      <c r="LZ382" s="5">
        <v>0.54659875960176396</v>
      </c>
      <c r="MA382" s="5">
        <v>-0.289763866246806</v>
      </c>
      <c r="MB382" s="5">
        <v>0.54681129215135005</v>
      </c>
      <c r="MC382" s="5">
        <v>-0.34967057442013999</v>
      </c>
      <c r="MD382" s="5">
        <v>0.59533968941633897</v>
      </c>
      <c r="ME382" s="5">
        <v>-0.43492156352778799</v>
      </c>
      <c r="MF382" s="5">
        <v>-0.33584515035900198</v>
      </c>
      <c r="MG382" s="5">
        <v>0.37143266736548902</v>
      </c>
      <c r="MH382" s="5">
        <v>0.45602921431792598</v>
      </c>
      <c r="MI382" s="5">
        <v>-4.9711418599672902E-2</v>
      </c>
      <c r="MJ382" s="5">
        <v>5.8006809462128897E-2</v>
      </c>
      <c r="MK382" s="5">
        <v>0.119655869774221</v>
      </c>
      <c r="ML382" s="5">
        <v>0.36037455207817398</v>
      </c>
      <c r="MM382" s="5">
        <v>-0.23550332478627001</v>
      </c>
      <c r="MN382" s="5">
        <v>0.41945165723015698</v>
      </c>
      <c r="MO382" s="5">
        <v>-0.24708199471418199</v>
      </c>
      <c r="MP382" s="5">
        <v>0.49972696506300601</v>
      </c>
      <c r="MQ382" s="5">
        <v>-0.18834543582816199</v>
      </c>
      <c r="MR382" s="5">
        <v>0.17954739890950999</v>
      </c>
      <c r="MS382" s="5">
        <v>0.15096326774763799</v>
      </c>
      <c r="MT382" s="5">
        <v>0.22939689637194999</v>
      </c>
      <c r="MU382" s="5">
        <v>-0.138854665636161</v>
      </c>
      <c r="MV382" s="5">
        <v>0.497858056135218</v>
      </c>
      <c r="MW382" s="5">
        <v>-0.211759446375206</v>
      </c>
      <c r="MX382" s="5">
        <v>0.57686979814141703</v>
      </c>
      <c r="MY382" s="5">
        <v>-0.309228654685204</v>
      </c>
      <c r="MZ382" s="5">
        <v>0.49851521446871899</v>
      </c>
      <c r="NA382" s="5">
        <v>-0.30103434145444802</v>
      </c>
      <c r="NB382" s="5">
        <v>5.5192668546401702E-2</v>
      </c>
      <c r="NC382" s="5">
        <v>3.2334885597364298E-2</v>
      </c>
      <c r="ND382" s="5">
        <v>0.32942645409849203</v>
      </c>
      <c r="NE382" s="5">
        <v>4.8204852802367498E-2</v>
      </c>
      <c r="NF382" s="5">
        <v>-0.13744612510874499</v>
      </c>
      <c r="NG382" s="5">
        <v>0.41115500514501602</v>
      </c>
      <c r="NH382" s="5">
        <v>0.26013119572256499</v>
      </c>
      <c r="NI382" s="5">
        <v>0.19896993688062001</v>
      </c>
      <c r="NJ382" s="5">
        <v>0.62441885953677401</v>
      </c>
      <c r="NK382" s="5">
        <v>-0.352921551571728</v>
      </c>
      <c r="NL382" s="5">
        <v>0.62697069861256005</v>
      </c>
      <c r="NM382" s="5">
        <v>-0.43838598334568502</v>
      </c>
      <c r="NN382" s="5">
        <v>0.295514173920989</v>
      </c>
      <c r="NO382" s="5">
        <v>-3.5711964380456498E-2</v>
      </c>
      <c r="NP382" s="5">
        <v>0.26499279087445698</v>
      </c>
      <c r="NQ382" s="5">
        <v>-8.24609132382534E-2</v>
      </c>
      <c r="NR382" s="5">
        <v>1</v>
      </c>
      <c r="NS382" s="5"/>
      <c r="NT382" s="5"/>
      <c r="NU382" s="5"/>
      <c r="NV382" s="5"/>
      <c r="NW382" s="5"/>
      <c r="NX382" s="5"/>
      <c r="NY382" s="5"/>
    </row>
    <row r="383" spans="1:389" x14ac:dyDescent="0.45">
      <c r="A383" s="4" t="str">
        <f ca="1">"YEM / beta2dist in "&amp;CELL("address",'damages-1990'!$K$192)</f>
        <v>YEM / beta2dist in '[BHM betas v3pd.xlsx]damages-1990'!$K$192</v>
      </c>
      <c r="B383" s="6">
        <v>-0.173565519323887</v>
      </c>
      <c r="C383" s="5">
        <v>0.24231981515932199</v>
      </c>
      <c r="D383" s="5">
        <v>-0.273480320470052</v>
      </c>
      <c r="E383" s="5">
        <v>0.50301779461921503</v>
      </c>
      <c r="F383" s="5">
        <v>-6.9692161502562605E-2</v>
      </c>
      <c r="G383" s="5">
        <v>4.0725292898206499E-2</v>
      </c>
      <c r="H383" s="5">
        <v>0.27944696302196598</v>
      </c>
      <c r="I383" s="5">
        <v>-0.39962657037609001</v>
      </c>
      <c r="J383" s="5">
        <v>-0.414185844302082</v>
      </c>
      <c r="K383" s="5">
        <v>0.587058746343879</v>
      </c>
      <c r="L383" s="5">
        <v>-0.201012863457842</v>
      </c>
      <c r="M383" s="5">
        <v>0.27946581018842998</v>
      </c>
      <c r="N383" s="5">
        <v>7.0377535414603801E-2</v>
      </c>
      <c r="O383" s="5">
        <v>-0.15246968178200601</v>
      </c>
      <c r="P383" s="5">
        <v>-0.37527875746873002</v>
      </c>
      <c r="Q383" s="5">
        <v>0.50834233874566703</v>
      </c>
      <c r="R383" s="5">
        <v>-0.21388303897813701</v>
      </c>
      <c r="S383" s="5">
        <v>0.39578231991092999</v>
      </c>
      <c r="T383" s="5">
        <v>-2.5247233955122701E-2</v>
      </c>
      <c r="U383" s="5">
        <v>-5.3742807686456302E-3</v>
      </c>
      <c r="V383" s="5">
        <v>-4.3525224385920297E-2</v>
      </c>
      <c r="W383" s="5">
        <v>-3.0643097394876698E-2</v>
      </c>
      <c r="X383" s="5">
        <v>-0.274766697824115</v>
      </c>
      <c r="Y383" s="5">
        <v>0.45847739205521498</v>
      </c>
      <c r="Z383" s="5">
        <v>6.9048104760122894E-2</v>
      </c>
      <c r="AA383" s="5">
        <v>-0.115017272401</v>
      </c>
      <c r="AB383" s="5">
        <v>-0.28413336308192599</v>
      </c>
      <c r="AC383" s="5">
        <v>0.55793478998264701</v>
      </c>
      <c r="AD383" s="5">
        <v>-0.33835496696409101</v>
      </c>
      <c r="AE383" s="5">
        <v>0.56101346279820596</v>
      </c>
      <c r="AF383" s="5">
        <v>-0.26114165899217501</v>
      </c>
      <c r="AG383" s="5">
        <v>0.418175364466286</v>
      </c>
      <c r="AH383" s="5">
        <v>-4.0915079542467502E-2</v>
      </c>
      <c r="AI383" s="5">
        <v>6.9397256602086298E-3</v>
      </c>
      <c r="AJ383" s="5">
        <v>-0.41669157934547402</v>
      </c>
      <c r="AK383" s="5">
        <v>0.53633682077302802</v>
      </c>
      <c r="AL383" s="5">
        <v>0.14677087557974899</v>
      </c>
      <c r="AM383" s="5">
        <v>-0.13065008129890901</v>
      </c>
      <c r="AN383" s="5">
        <v>-8.2857783807857202E-2</v>
      </c>
      <c r="AO383" s="5">
        <v>6.8043168129779397E-2</v>
      </c>
      <c r="AP383" s="5">
        <v>-0.135177195451615</v>
      </c>
      <c r="AQ383" s="5">
        <v>0.143567737762509</v>
      </c>
      <c r="AR383" s="5">
        <v>-0.107203739479732</v>
      </c>
      <c r="AS383" s="5">
        <v>0.203637274169719</v>
      </c>
      <c r="AT383" s="5">
        <v>9.3287780182676597E-2</v>
      </c>
      <c r="AU383" s="5">
        <v>-0.111163542271739</v>
      </c>
      <c r="AV383" s="5">
        <v>-0.23698506469592501</v>
      </c>
      <c r="AW383" s="5">
        <v>0.44778939008957902</v>
      </c>
      <c r="AX383" s="5">
        <v>-0.30174701529919301</v>
      </c>
      <c r="AY383" s="5">
        <v>0.52264552581295998</v>
      </c>
      <c r="AZ383" s="5">
        <v>-0.45481202199636001</v>
      </c>
      <c r="BA383" s="5">
        <v>0.60872734909567305</v>
      </c>
      <c r="BB383" s="5">
        <v>-0.26454871180251299</v>
      </c>
      <c r="BC383" s="5">
        <v>0.50388036745474596</v>
      </c>
      <c r="BD383" s="5">
        <v>-6.5894443394196395E-2</v>
      </c>
      <c r="BE383" s="5">
        <v>6.2620975210775406E-2</v>
      </c>
      <c r="BF383" s="5">
        <v>-0.212386485837672</v>
      </c>
      <c r="BG383" s="5">
        <v>0.33691371330301201</v>
      </c>
      <c r="BH383" s="5">
        <v>-0.35535700137118098</v>
      </c>
      <c r="BI383" s="5">
        <v>0.65127638024516299</v>
      </c>
      <c r="BJ383" s="5">
        <v>7.3078577489681606E-2</v>
      </c>
      <c r="BK383" s="5">
        <v>-0.25550417480513798</v>
      </c>
      <c r="BL383" s="5">
        <v>2.6158655097386602E-2</v>
      </c>
      <c r="BM383" s="5">
        <v>-8.3766184221055306E-2</v>
      </c>
      <c r="BN383" s="5">
        <v>0.10349163115728</v>
      </c>
      <c r="BO383" s="5">
        <v>-0.25674228764858298</v>
      </c>
      <c r="BP383" s="5">
        <v>0.12809329560716801</v>
      </c>
      <c r="BQ383" s="5">
        <v>-0.353331782792284</v>
      </c>
      <c r="BR383" s="5">
        <v>-0.38274017057640403</v>
      </c>
      <c r="BS383" s="5">
        <v>0.64301032552694504</v>
      </c>
      <c r="BT383" s="5">
        <v>-0.30181752636174197</v>
      </c>
      <c r="BU383" s="5">
        <v>0.61722634408951804</v>
      </c>
      <c r="BV383" s="5">
        <v>-0.30484785750057303</v>
      </c>
      <c r="BW383" s="5">
        <v>0.56827966498193005</v>
      </c>
      <c r="BX383" s="5">
        <v>-0.262088327237185</v>
      </c>
      <c r="BY383" s="5">
        <v>0.53314040135297003</v>
      </c>
      <c r="BZ383" s="5">
        <v>-0.416347409797304</v>
      </c>
      <c r="CA383" s="5">
        <v>0.63670741578650503</v>
      </c>
      <c r="CB383" s="5">
        <v>-2.9594181259741201E-2</v>
      </c>
      <c r="CC383" s="5">
        <v>0.19777262313625199</v>
      </c>
      <c r="CD383" s="5">
        <v>-0.23263832736912701</v>
      </c>
      <c r="CE383" s="5">
        <v>0.33956094629178502</v>
      </c>
      <c r="CF383" s="5">
        <v>-0.35205231458809899</v>
      </c>
      <c r="CG383" s="5">
        <v>0.46846142174396799</v>
      </c>
      <c r="CH383" s="5">
        <v>0.27617875442793999</v>
      </c>
      <c r="CI383" s="5">
        <v>-0.258615940122014</v>
      </c>
      <c r="CJ383" s="5">
        <v>-0.107883895441872</v>
      </c>
      <c r="CK383" s="5">
        <v>0.101525200513435</v>
      </c>
      <c r="CL383" s="5">
        <v>-1.11323729996254E-2</v>
      </c>
      <c r="CM383" s="5">
        <v>-2.1658601375172701E-2</v>
      </c>
      <c r="CN383" s="5">
        <v>2.9949243253844599E-2</v>
      </c>
      <c r="CO383" s="5">
        <v>-7.9134441594495702E-2</v>
      </c>
      <c r="CP383" s="5">
        <v>-0.72306096770754502</v>
      </c>
      <c r="CQ383" s="5">
        <v>0.81092716641491103</v>
      </c>
      <c r="CR383" s="5">
        <v>-0.36868612818742202</v>
      </c>
      <c r="CS383" s="5">
        <v>0.51764792244312496</v>
      </c>
      <c r="CT383" s="5">
        <v>2.4306322417637E-2</v>
      </c>
      <c r="CU383" s="5">
        <v>-3.9062460854996699E-2</v>
      </c>
      <c r="CV383" s="5">
        <v>-0.186290928900744</v>
      </c>
      <c r="CW383" s="5">
        <v>0.31555790977474002</v>
      </c>
      <c r="CX383" s="5">
        <v>-0.28664590059033102</v>
      </c>
      <c r="CY383" s="5">
        <v>0.42893450354325302</v>
      </c>
      <c r="CZ383" s="5">
        <v>-0.32060920907995</v>
      </c>
      <c r="DA383" s="5">
        <v>0.46370225028302298</v>
      </c>
      <c r="DB383" s="5">
        <v>-0.19157485405632799</v>
      </c>
      <c r="DC383" s="5">
        <v>0.21431406192146801</v>
      </c>
      <c r="DD383" s="5">
        <v>-0.62314605325704497</v>
      </c>
      <c r="DE383" s="5">
        <v>0.75632070958642805</v>
      </c>
      <c r="DF383" s="5">
        <v>-0.44674803786567102</v>
      </c>
      <c r="DG383" s="5">
        <v>0.59514126887485996</v>
      </c>
      <c r="DH383" s="5">
        <v>-0.25655646958442602</v>
      </c>
      <c r="DI383" s="5">
        <v>0.34621216257593301</v>
      </c>
      <c r="DJ383" s="5">
        <v>-8.3044681291059796E-2</v>
      </c>
      <c r="DK383" s="5">
        <v>7.6527465759752694E-2</v>
      </c>
      <c r="DL383" s="5">
        <v>-0.48614963351989898</v>
      </c>
      <c r="DM383" s="5">
        <v>0.72033175675311401</v>
      </c>
      <c r="DN383" s="5">
        <v>-1.5759788551482901E-2</v>
      </c>
      <c r="DO383" s="5">
        <v>-2.3288271879921799E-3</v>
      </c>
      <c r="DP383" s="5">
        <v>8.0006247889220797E-2</v>
      </c>
      <c r="DQ383" s="5">
        <v>-1.54683227194397E-2</v>
      </c>
      <c r="DR383" s="5">
        <v>2.2578164510265401E-3</v>
      </c>
      <c r="DS383" s="5">
        <v>-3.7598549167693403E-2</v>
      </c>
      <c r="DT383" s="5">
        <v>-0.448100963808861</v>
      </c>
      <c r="DU383" s="5">
        <v>0.54043118930689105</v>
      </c>
      <c r="DV383" s="5">
        <v>-0.201425698503679</v>
      </c>
      <c r="DW383" s="5">
        <v>0.41994044830400301</v>
      </c>
      <c r="DX383" s="5">
        <v>9.4490622890433099E-2</v>
      </c>
      <c r="DY383" s="5">
        <v>-9.6143315729740803E-2</v>
      </c>
      <c r="DZ383" s="5">
        <v>3.8800242844088999E-2</v>
      </c>
      <c r="EA383" s="5">
        <v>-9.0505053221331705E-2</v>
      </c>
      <c r="EB383" s="5">
        <v>-0.41640491816146202</v>
      </c>
      <c r="EC383" s="5">
        <v>0.65132340186565396</v>
      </c>
      <c r="ED383" s="5">
        <v>-0.38455347710857202</v>
      </c>
      <c r="EE383" s="5">
        <v>0.63397998115191001</v>
      </c>
      <c r="EF383" s="5">
        <v>-0.38372296952026103</v>
      </c>
      <c r="EG383" s="5">
        <v>0.51297971153495803</v>
      </c>
      <c r="EH383" s="5">
        <v>-0.46628254912017703</v>
      </c>
      <c r="EI383" s="5">
        <v>0.67830072351701098</v>
      </c>
      <c r="EJ383" s="5">
        <v>-0.459204054344449</v>
      </c>
      <c r="EK383" s="5">
        <v>0.665901918845201</v>
      </c>
      <c r="EL383" s="5">
        <v>-0.344085845081398</v>
      </c>
      <c r="EM383" s="5">
        <v>0.61446455224941099</v>
      </c>
      <c r="EN383" s="5">
        <v>-2.4156863748082302E-2</v>
      </c>
      <c r="EO383" s="5">
        <v>-2.8479733472235001E-2</v>
      </c>
      <c r="EP383" s="5">
        <v>-0.42150294101811903</v>
      </c>
      <c r="EQ383" s="5">
        <v>0.56787440058798</v>
      </c>
      <c r="ER383" s="5">
        <v>-0.123949362752662</v>
      </c>
      <c r="ES383" s="5">
        <v>0.239420429561711</v>
      </c>
      <c r="ET383" s="5">
        <v>-0.127222837645145</v>
      </c>
      <c r="EU383" s="5">
        <v>0.32847231401823801</v>
      </c>
      <c r="EV383" s="5">
        <v>-0.31218858658374998</v>
      </c>
      <c r="EW383" s="5">
        <v>0.50448535775773895</v>
      </c>
      <c r="EX383" s="5">
        <v>-7.4213502999969802E-2</v>
      </c>
      <c r="EY383" s="5">
        <v>0.24793940757692801</v>
      </c>
      <c r="EZ383" s="5">
        <v>-0.17457687000977801</v>
      </c>
      <c r="FA383" s="5">
        <v>0.344619127416879</v>
      </c>
      <c r="FB383" s="5">
        <v>-8.3264781615823402E-2</v>
      </c>
      <c r="FC383" s="5">
        <v>7.7173668676170606E-2</v>
      </c>
      <c r="FD383" s="5">
        <v>-4.0462685558641798E-2</v>
      </c>
      <c r="FE383" s="5">
        <v>0.18511640676716901</v>
      </c>
      <c r="FF383" s="5">
        <v>-7.8050064028750907E-2</v>
      </c>
      <c r="FG383" s="5">
        <v>7.1984147758037895E-2</v>
      </c>
      <c r="FH383" s="5">
        <v>-6.39822537567592E-2</v>
      </c>
      <c r="FI383" s="5">
        <v>0.284989868945764</v>
      </c>
      <c r="FJ383" s="5">
        <v>-0.24718858342698199</v>
      </c>
      <c r="FK383" s="5">
        <v>0.37410385956147502</v>
      </c>
      <c r="FL383" s="5">
        <v>0.110045513372622</v>
      </c>
      <c r="FM383" s="5">
        <v>-9.8992802676777694E-2</v>
      </c>
      <c r="FN383" s="5">
        <v>-0.26262981260955998</v>
      </c>
      <c r="FO383" s="5">
        <v>0.35030595774047901</v>
      </c>
      <c r="FP383" s="5">
        <v>-0.31513924967090701</v>
      </c>
      <c r="FQ383" s="5">
        <v>0.37678157869082801</v>
      </c>
      <c r="FR383" s="5">
        <v>0.42647015425101298</v>
      </c>
      <c r="FS383" s="5">
        <v>-0.36631149898788501</v>
      </c>
      <c r="FT383" s="5">
        <v>-0.32496100445963799</v>
      </c>
      <c r="FU383" s="5">
        <v>0.36214952096158998</v>
      </c>
      <c r="FV383" s="5">
        <v>-0.10872275326286</v>
      </c>
      <c r="FW383" s="5">
        <v>0.14754002390652399</v>
      </c>
      <c r="FX383" s="5">
        <v>-0.16943160728732901</v>
      </c>
      <c r="FY383" s="5">
        <v>0.29827601880478999</v>
      </c>
      <c r="FZ383" s="5">
        <v>-0.33554272309696198</v>
      </c>
      <c r="GA383" s="5">
        <v>0.392295597480951</v>
      </c>
      <c r="GB383" s="5">
        <v>-6.0602868958742999E-2</v>
      </c>
      <c r="GC383" s="5">
        <v>4.28345265540655E-2</v>
      </c>
      <c r="GD383" s="5">
        <v>0.107563411970726</v>
      </c>
      <c r="GE383" s="5">
        <v>-0.124184064420989</v>
      </c>
      <c r="GF383" s="5">
        <v>-0.17754290824966301</v>
      </c>
      <c r="GG383" s="5">
        <v>0.467411917679248</v>
      </c>
      <c r="GH383" s="5">
        <v>0.43401141696975698</v>
      </c>
      <c r="GI383" s="5">
        <v>-0.61145605484257903</v>
      </c>
      <c r="GJ383" s="5">
        <v>-0.206080543634581</v>
      </c>
      <c r="GK383" s="5">
        <v>0.40242040878248903</v>
      </c>
      <c r="GL383" s="5">
        <v>-0.45222718733776102</v>
      </c>
      <c r="GM383" s="5">
        <v>0.56136108518917505</v>
      </c>
      <c r="GN383" s="5">
        <v>-8.9189815533878794E-2</v>
      </c>
      <c r="GO383" s="5">
        <v>0.110135880562594</v>
      </c>
      <c r="GP383" s="5">
        <v>-0.38666189240676302</v>
      </c>
      <c r="GQ383" s="5">
        <v>0.475797159542373</v>
      </c>
      <c r="GR383" s="5">
        <v>-0.26934164359950002</v>
      </c>
      <c r="GS383" s="5">
        <v>0.50439352043867203</v>
      </c>
      <c r="GT383" s="5">
        <v>-0.26567595588508203</v>
      </c>
      <c r="GU383" s="5">
        <v>0.26688560762424601</v>
      </c>
      <c r="GV383" s="5">
        <v>-0.17153210769171401</v>
      </c>
      <c r="GW383" s="5">
        <v>0.45487587635723198</v>
      </c>
      <c r="GX383" s="5">
        <v>-0.12885674045903101</v>
      </c>
      <c r="GY383" s="5">
        <v>0.18912389695551801</v>
      </c>
      <c r="GZ383" s="5">
        <v>1.6131795791966101E-2</v>
      </c>
      <c r="HA383" s="5">
        <v>-7.3752801860829997E-2</v>
      </c>
      <c r="HB383" s="5">
        <v>-0.18512969811208399</v>
      </c>
      <c r="HC383" s="5">
        <v>0.42738025314375</v>
      </c>
      <c r="HD383" s="5">
        <v>-8.2151296766274307E-2</v>
      </c>
      <c r="HE383" s="5">
        <v>0.10580600386538</v>
      </c>
      <c r="HF383" s="5">
        <v>-9.8279888054040601E-2</v>
      </c>
      <c r="HG383" s="5">
        <v>9.4528516102525106E-2</v>
      </c>
      <c r="HH383" s="5">
        <v>7.0664701743608005E-2</v>
      </c>
      <c r="HI383" s="5">
        <v>-0.12822563030855</v>
      </c>
      <c r="HJ383" s="5">
        <v>-8.1206526350760505E-2</v>
      </c>
      <c r="HK383" s="5">
        <v>7.5147140519526201E-2</v>
      </c>
      <c r="HL383" s="5">
        <v>-0.47770792105242399</v>
      </c>
      <c r="HM383" s="5">
        <v>0.65834824863328401</v>
      </c>
      <c r="HN383" s="5">
        <v>-7.0499693051431403E-2</v>
      </c>
      <c r="HO383" s="5">
        <v>5.7855984802016799E-2</v>
      </c>
      <c r="HP383" s="5">
        <v>3.2944662573798499E-3</v>
      </c>
      <c r="HQ383" s="5">
        <v>0.19876369372336999</v>
      </c>
      <c r="HR383" s="5">
        <v>-0.17931625929938699</v>
      </c>
      <c r="HS383" s="5">
        <v>0.360811692947208</v>
      </c>
      <c r="HT383" s="5">
        <v>-6.9799282621274106E-2</v>
      </c>
      <c r="HU383" s="5">
        <v>4.92451239639368E-2</v>
      </c>
      <c r="HV383" s="5">
        <v>-0.23453619476930601</v>
      </c>
      <c r="HW383" s="5">
        <v>0.43435540852187599</v>
      </c>
      <c r="HX383" s="5">
        <v>-0.31667226347664901</v>
      </c>
      <c r="HY383" s="5">
        <v>0.61235688260375798</v>
      </c>
      <c r="HZ383" s="5">
        <v>-5.5555061344276097E-2</v>
      </c>
      <c r="IA383" s="5">
        <v>3.3141165230176198E-2</v>
      </c>
      <c r="IB383" s="5">
        <v>0.275675909781745</v>
      </c>
      <c r="IC383" s="5">
        <v>-0.37063063803380802</v>
      </c>
      <c r="ID383" s="5">
        <v>-0.120401700724334</v>
      </c>
      <c r="IE383" s="5">
        <v>0.29742683549694399</v>
      </c>
      <c r="IF383" s="5">
        <v>-0.34739700359736098</v>
      </c>
      <c r="IG383" s="5">
        <v>0.56632501217808895</v>
      </c>
      <c r="IH383" s="5">
        <v>-0.40189037941488698</v>
      </c>
      <c r="II383" s="5">
        <v>0.56195004340323396</v>
      </c>
      <c r="IJ383" s="5">
        <v>2.29454435239606E-2</v>
      </c>
      <c r="IK383" s="5">
        <v>4.8691241611783502E-2</v>
      </c>
      <c r="IL383" s="5">
        <v>-0.223349904049746</v>
      </c>
      <c r="IM383" s="5">
        <v>0.423548755710069</v>
      </c>
      <c r="IN383" s="5">
        <v>-0.212532900820843</v>
      </c>
      <c r="IO383" s="5">
        <v>0.48284477353701299</v>
      </c>
      <c r="IP383" s="5">
        <v>-0.28463187954737301</v>
      </c>
      <c r="IQ383" s="5">
        <v>0.427179589714546</v>
      </c>
      <c r="IR383" s="5">
        <v>8.3498091687848303E-2</v>
      </c>
      <c r="IS383" s="5">
        <v>-0.114181981007227</v>
      </c>
      <c r="IT383" s="5">
        <v>-0.152390713388563</v>
      </c>
      <c r="IU383" s="5">
        <v>0.32755036353064698</v>
      </c>
      <c r="IV383" s="5">
        <v>-0.19759642565022101</v>
      </c>
      <c r="IW383" s="5">
        <v>0.44466767955264003</v>
      </c>
      <c r="IX383" s="5">
        <v>-0.28347557982033</v>
      </c>
      <c r="IY383" s="5">
        <v>0.476441512315601</v>
      </c>
      <c r="IZ383" s="5">
        <v>7.2603767581002496E-2</v>
      </c>
      <c r="JA383" s="5">
        <v>-0.11057780655612499</v>
      </c>
      <c r="JB383" s="5">
        <v>-6.6353557543629996E-2</v>
      </c>
      <c r="JC383" s="5">
        <v>7.1411013822765698E-2</v>
      </c>
      <c r="JD383" s="5">
        <v>-0.16095029557267301</v>
      </c>
      <c r="JE383" s="5">
        <v>0.24208722678467701</v>
      </c>
      <c r="JF383" s="5">
        <v>-0.19811280790755201</v>
      </c>
      <c r="JG383" s="5">
        <v>0.35439153642997701</v>
      </c>
      <c r="JH383" s="5">
        <v>-0.19011218428325799</v>
      </c>
      <c r="JI383" s="5">
        <v>0.23437180902927601</v>
      </c>
      <c r="JJ383" s="5">
        <v>-0.50251193945373296</v>
      </c>
      <c r="JK383" s="5">
        <v>0.72896954092714406</v>
      </c>
      <c r="JL383" s="5">
        <v>-0.33872472631603501</v>
      </c>
      <c r="JM383" s="5">
        <v>0.47042217439256201</v>
      </c>
      <c r="JN383" s="5">
        <v>-0.27398744818384502</v>
      </c>
      <c r="JO383" s="5">
        <v>0.41626563540928702</v>
      </c>
      <c r="JP383" s="5">
        <v>-0.35050634222196703</v>
      </c>
      <c r="JQ383" s="5">
        <v>0.59687390749837099</v>
      </c>
      <c r="JR383" s="5">
        <v>-1.89623116390597E-2</v>
      </c>
      <c r="JS383" s="5">
        <v>0.23226094359476601</v>
      </c>
      <c r="JT383" s="5">
        <v>-3.5323798973341501E-2</v>
      </c>
      <c r="JU383" s="5">
        <v>0.176723143134317</v>
      </c>
      <c r="JV383" s="5">
        <v>-0.1365712055892</v>
      </c>
      <c r="JW383" s="5">
        <v>0.36952463275299602</v>
      </c>
      <c r="JX383" s="5">
        <v>-6.0632906891645598E-2</v>
      </c>
      <c r="JY383" s="5">
        <v>3.6288626716476299E-2</v>
      </c>
      <c r="JZ383" s="5">
        <v>-0.41030096399968602</v>
      </c>
      <c r="KA383" s="5">
        <v>0.503620818386039</v>
      </c>
      <c r="KB383" s="5">
        <v>-3.26059331646999E-3</v>
      </c>
      <c r="KC383" s="5">
        <v>-7.4034626332382503E-2</v>
      </c>
      <c r="KD383" s="5">
        <v>-0.31742948671725502</v>
      </c>
      <c r="KE383" s="5">
        <v>0.376082225421005</v>
      </c>
      <c r="KF383" s="5">
        <v>-9.5246283466203896E-2</v>
      </c>
      <c r="KG383" s="5">
        <v>0.120653859749512</v>
      </c>
      <c r="KH383" s="5">
        <v>-0.31493729094634998</v>
      </c>
      <c r="KI383" s="5">
        <v>0.33445215977308101</v>
      </c>
      <c r="KJ383" s="5">
        <v>-0.42629957917186401</v>
      </c>
      <c r="KK383" s="5">
        <v>0.55744293082452501</v>
      </c>
      <c r="KL383" s="5">
        <v>0.17812528926753299</v>
      </c>
      <c r="KM383" s="5">
        <v>-0.160783760715662</v>
      </c>
      <c r="KN383" s="5">
        <v>-5.7675393785055103E-2</v>
      </c>
      <c r="KO383" s="5">
        <v>4.4417142229386197E-2</v>
      </c>
      <c r="KP383" s="5">
        <v>0.21262754268249401</v>
      </c>
      <c r="KQ383" s="5">
        <v>-0.22562565903787901</v>
      </c>
      <c r="KR383" s="5">
        <v>-0.301706756262488</v>
      </c>
      <c r="KS383" s="5">
        <v>0.51437183884831394</v>
      </c>
      <c r="KT383" s="5">
        <v>-0.554640685610573</v>
      </c>
      <c r="KU383" s="5">
        <v>0.77764072931515704</v>
      </c>
      <c r="KV383" s="5">
        <v>-0.36305169040773599</v>
      </c>
      <c r="KW383" s="5">
        <v>0.570046577012845</v>
      </c>
      <c r="KX383" s="5">
        <v>-0.420326163779422</v>
      </c>
      <c r="KY383" s="5">
        <v>0.62940350855100202</v>
      </c>
      <c r="KZ383" s="5">
        <v>-0.112772338676287</v>
      </c>
      <c r="LA383" s="5">
        <v>0.25638147547129098</v>
      </c>
      <c r="LB383" s="5">
        <v>-0.40388465810476198</v>
      </c>
      <c r="LC383" s="5">
        <v>0.65603737760291603</v>
      </c>
      <c r="LD383" s="5">
        <v>-0.112117515557226</v>
      </c>
      <c r="LE383" s="5">
        <v>0.25460882610320101</v>
      </c>
      <c r="LF383" s="5">
        <v>-6.2884419856566606E-2</v>
      </c>
      <c r="LG383" s="5">
        <v>5.5748087638560602E-2</v>
      </c>
      <c r="LH383" s="5">
        <v>-0.40793617613510702</v>
      </c>
      <c r="LI383" s="5">
        <v>0.66503642326390799</v>
      </c>
      <c r="LJ383" s="5">
        <v>-9.2487919691673706E-2</v>
      </c>
      <c r="LK383" s="5">
        <v>8.4234998073280595E-2</v>
      </c>
      <c r="LL383" s="5">
        <v>-0.303095703546859</v>
      </c>
      <c r="LM383" s="5">
        <v>0.56087562054700402</v>
      </c>
      <c r="LN383" s="5">
        <v>-0.19642682591129601</v>
      </c>
      <c r="LO383" s="5">
        <v>0.38655595813226401</v>
      </c>
      <c r="LP383" s="5">
        <v>-0.23713865665528999</v>
      </c>
      <c r="LQ383" s="5">
        <v>0.47940388147469398</v>
      </c>
      <c r="LR383" s="5">
        <v>-3.79981431196472E-2</v>
      </c>
      <c r="LS383" s="5">
        <v>1.7601509596175499E-2</v>
      </c>
      <c r="LT383" s="5">
        <v>-6.8159292188857204E-2</v>
      </c>
      <c r="LU383" s="5">
        <v>5.2642251610056402E-2</v>
      </c>
      <c r="LV383" s="5">
        <v>-6.3463792959791807E-2</v>
      </c>
      <c r="LW383" s="5">
        <v>4.0275661912995801E-2</v>
      </c>
      <c r="LX383" s="5">
        <v>-0.32248616244431899</v>
      </c>
      <c r="LY383" s="5">
        <v>0.35353225479260098</v>
      </c>
      <c r="LZ383" s="5">
        <v>-0.218240857261286</v>
      </c>
      <c r="MA383" s="5">
        <v>0.45287314210159302</v>
      </c>
      <c r="MB383" s="5">
        <v>-0.31835932424271401</v>
      </c>
      <c r="MC383" s="5">
        <v>0.58457903815528101</v>
      </c>
      <c r="MD383" s="5">
        <v>-0.22267097789012899</v>
      </c>
      <c r="ME383" s="5">
        <v>0.441825843000967</v>
      </c>
      <c r="MF383" s="5">
        <v>0.342958496033889</v>
      </c>
      <c r="MG383" s="5">
        <v>-0.51594635807809597</v>
      </c>
      <c r="MH383" s="5">
        <v>-0.195069805415723</v>
      </c>
      <c r="MI383" s="5">
        <v>0.20842729192730899</v>
      </c>
      <c r="MJ383" s="5">
        <v>0.322299552714014</v>
      </c>
      <c r="MK383" s="5">
        <v>-0.31901152595806298</v>
      </c>
      <c r="ML383" s="5">
        <v>-3.5817453724017199E-2</v>
      </c>
      <c r="MM383" s="5">
        <v>0.14860399418071901</v>
      </c>
      <c r="MN383" s="5">
        <v>-0.346721219987848</v>
      </c>
      <c r="MO383" s="5">
        <v>0.47203396148075899</v>
      </c>
      <c r="MP383" s="5">
        <v>-0.26331032412982103</v>
      </c>
      <c r="MQ383" s="5">
        <v>0.34188448257575998</v>
      </c>
      <c r="MR383" s="5">
        <v>-8.2810678126613406E-3</v>
      </c>
      <c r="MS383" s="5">
        <v>-6.7470335932945394E-2</v>
      </c>
      <c r="MT383" s="5">
        <v>-0.168460613465055</v>
      </c>
      <c r="MU383" s="5">
        <v>0.226722223872551</v>
      </c>
      <c r="MV383" s="5">
        <v>-0.12037655106786201</v>
      </c>
      <c r="MW383" s="5">
        <v>0.28595037470900098</v>
      </c>
      <c r="MX383" s="5">
        <v>-0.22724053257457</v>
      </c>
      <c r="MY383" s="5">
        <v>0.47877920251178602</v>
      </c>
      <c r="MZ383" s="5">
        <v>-0.23380333655872201</v>
      </c>
      <c r="NA383" s="5">
        <v>0.46921092733380498</v>
      </c>
      <c r="NB383" s="5">
        <v>-0.12261688735637</v>
      </c>
      <c r="NC383" s="5">
        <v>0.128862838818946</v>
      </c>
      <c r="ND383" s="5">
        <v>-7.8268933297142903E-3</v>
      </c>
      <c r="NE383" s="5">
        <v>-3.3334588451632098E-2</v>
      </c>
      <c r="NF383" s="5">
        <v>5.79289798950876E-2</v>
      </c>
      <c r="NG383" s="5">
        <v>-0.24152628566908499</v>
      </c>
      <c r="NH383" s="5">
        <v>-2.74547153655639E-2</v>
      </c>
      <c r="NI383" s="5">
        <v>-5.8705022974847601E-2</v>
      </c>
      <c r="NJ383" s="5">
        <v>-0.38610498012025302</v>
      </c>
      <c r="NK383" s="5">
        <v>0.55380645477421997</v>
      </c>
      <c r="NL383" s="5">
        <v>-0.22853028949083201</v>
      </c>
      <c r="NM383" s="5">
        <v>0.49754814133719899</v>
      </c>
      <c r="NN383" s="5">
        <v>8.4573998108323806E-2</v>
      </c>
      <c r="NO383" s="5">
        <v>-4.0098656874253798E-2</v>
      </c>
      <c r="NP383" s="5">
        <v>1.3674477758094101E-2</v>
      </c>
      <c r="NQ383" s="5">
        <v>6.6233824048802001E-2</v>
      </c>
      <c r="NR383" s="5">
        <v>-0.74489025141135501</v>
      </c>
      <c r="NS383" s="5">
        <v>1</v>
      </c>
      <c r="NT383" s="5"/>
      <c r="NU383" s="5"/>
      <c r="NV383" s="5"/>
      <c r="NW383" s="5"/>
      <c r="NX383" s="5"/>
      <c r="NY383" s="5"/>
    </row>
    <row r="384" spans="1:389" x14ac:dyDescent="0.45">
      <c r="A384" s="4" t="str">
        <f ca="1">"ZAF / beta1dist in "&amp;CELL("address",'damages-1990'!$J$193)</f>
        <v>ZAF / beta1dist in '[BHM betas v3pd.xlsx]damages-1990'!$J$193</v>
      </c>
      <c r="B384" s="6">
        <v>0.282590284027192</v>
      </c>
      <c r="C384" s="5">
        <v>0.121767507106228</v>
      </c>
      <c r="D384" s="5">
        <v>0.69014110522465899</v>
      </c>
      <c r="E384" s="5">
        <v>-0.44991049843236097</v>
      </c>
      <c r="F384" s="5">
        <v>0.28726183817756801</v>
      </c>
      <c r="G384" s="5">
        <v>3.1303074570804598E-2</v>
      </c>
      <c r="H384" s="5">
        <v>4.88192004219798E-3</v>
      </c>
      <c r="I384" s="5">
        <v>4.6361549572093902E-2</v>
      </c>
      <c r="J384" s="5">
        <v>0.37254215415612901</v>
      </c>
      <c r="K384" s="5">
        <v>-9.1705289969211595E-2</v>
      </c>
      <c r="L384" s="5">
        <v>0.33221132115477098</v>
      </c>
      <c r="M384" s="5">
        <v>0.10705293679606601</v>
      </c>
      <c r="N384" s="5">
        <v>0.24688060681588</v>
      </c>
      <c r="O384" s="5">
        <v>-0.20533126463787399</v>
      </c>
      <c r="P384" s="5">
        <v>0.400541140229424</v>
      </c>
      <c r="Q384" s="5">
        <v>-0.312266960670609</v>
      </c>
      <c r="R384" s="5">
        <v>0.46860237226616003</v>
      </c>
      <c r="S384" s="5">
        <v>-0.23204434260155901</v>
      </c>
      <c r="T384" s="5">
        <v>0.319609017279542</v>
      </c>
      <c r="U384" s="5">
        <v>-0.30193512677658002</v>
      </c>
      <c r="V384" s="5">
        <v>0.317454670801879</v>
      </c>
      <c r="W384" s="5">
        <v>7.3082799158979306E-2</v>
      </c>
      <c r="X384" s="5">
        <v>0.64710028776697803</v>
      </c>
      <c r="Y384" s="5">
        <v>-0.40016752740764799</v>
      </c>
      <c r="Z384" s="5">
        <v>0.22052523252356701</v>
      </c>
      <c r="AA384" s="5">
        <v>-5.5893561582635601E-2</v>
      </c>
      <c r="AB384" s="5">
        <v>0.46724683819416402</v>
      </c>
      <c r="AC384" s="5">
        <v>-0.27898910839233698</v>
      </c>
      <c r="AD384" s="5">
        <v>0.44608849522174099</v>
      </c>
      <c r="AE384" s="5">
        <v>-0.226183239861835</v>
      </c>
      <c r="AF384" s="5">
        <v>0.20379003737074</v>
      </c>
      <c r="AG384" s="5">
        <v>-8.7858272686099706E-3</v>
      </c>
      <c r="AH384" s="5">
        <v>0.30859525570738999</v>
      </c>
      <c r="AI384" s="5">
        <v>-6.2472378883475801E-2</v>
      </c>
      <c r="AJ384" s="5">
        <v>0.29668833193046801</v>
      </c>
      <c r="AK384" s="5">
        <v>-1.54574414493688E-2</v>
      </c>
      <c r="AL384" s="5">
        <v>0.21051536688058101</v>
      </c>
      <c r="AM384" s="5">
        <v>-4.7751681784709503E-2</v>
      </c>
      <c r="AN384" s="5">
        <v>0.35950887647200103</v>
      </c>
      <c r="AO384" s="5">
        <v>-0.22072350631000601</v>
      </c>
      <c r="AP384" s="5">
        <v>0.111157910963627</v>
      </c>
      <c r="AQ384" s="5">
        <v>-4.6049321314436301E-2</v>
      </c>
      <c r="AR384" s="5">
        <v>0.47958853295131798</v>
      </c>
      <c r="AS384" s="5">
        <v>-0.29856692516775202</v>
      </c>
      <c r="AT384" s="5">
        <v>0.130149636915777</v>
      </c>
      <c r="AU384" s="5">
        <v>6.6619537762820605E-2</v>
      </c>
      <c r="AV384" s="5">
        <v>0.39754873318360601</v>
      </c>
      <c r="AW384" s="5">
        <v>-0.157702569234834</v>
      </c>
      <c r="AX384" s="5">
        <v>0.53016581438513</v>
      </c>
      <c r="AY384" s="5">
        <v>-0.382585044604275</v>
      </c>
      <c r="AZ384" s="5">
        <v>0.48089418768471498</v>
      </c>
      <c r="BA384" s="5">
        <v>-0.381853943503277</v>
      </c>
      <c r="BB384" s="5">
        <v>0.491516104500829</v>
      </c>
      <c r="BC384" s="5">
        <v>-0.272882458528861</v>
      </c>
      <c r="BD384" s="5">
        <v>0.27095401413943898</v>
      </c>
      <c r="BE384" s="5">
        <v>9.9568163537833196E-2</v>
      </c>
      <c r="BF384" s="5">
        <v>0.70286609902634101</v>
      </c>
      <c r="BG384" s="5">
        <v>-0.52374074436132101</v>
      </c>
      <c r="BH384" s="5">
        <v>0.57436181228553496</v>
      </c>
      <c r="BI384" s="5">
        <v>-0.35273682624229002</v>
      </c>
      <c r="BJ384" s="5">
        <v>3.9122264217019601E-2</v>
      </c>
      <c r="BK384" s="5">
        <v>-6.8456727539332199E-2</v>
      </c>
      <c r="BL384" s="5">
        <v>0.28093614155774599</v>
      </c>
      <c r="BM384" s="5">
        <v>-0.287145477658105</v>
      </c>
      <c r="BN384" s="5">
        <v>7.0805715752141701E-2</v>
      </c>
      <c r="BO384" s="5">
        <v>0.151204911675547</v>
      </c>
      <c r="BP384" s="5">
        <v>4.6562767828876001E-2</v>
      </c>
      <c r="BQ384" s="5">
        <v>0.212262281393062</v>
      </c>
      <c r="BR384" s="5">
        <v>0.53462679450175399</v>
      </c>
      <c r="BS384" s="5">
        <v>-0.33688248579371499</v>
      </c>
      <c r="BT384" s="5">
        <v>0.53848692260004105</v>
      </c>
      <c r="BU384" s="5">
        <v>-0.31922439021490001</v>
      </c>
      <c r="BV384" s="5">
        <v>0.56257817317673098</v>
      </c>
      <c r="BW384" s="5">
        <v>-0.34281150767328</v>
      </c>
      <c r="BX384" s="5">
        <v>0.49664966907040797</v>
      </c>
      <c r="BY384" s="5">
        <v>-0.31170203426304599</v>
      </c>
      <c r="BZ384" s="5">
        <v>0.45587990600852202</v>
      </c>
      <c r="CA384" s="5">
        <v>-0.28156028758345703</v>
      </c>
      <c r="CB384" s="5">
        <v>0.29515992645454098</v>
      </c>
      <c r="CC384" s="5">
        <v>-0.164431408882977</v>
      </c>
      <c r="CD384" s="5">
        <v>0.21308864601362901</v>
      </c>
      <c r="CE384" s="5">
        <v>-7.3203747975436703E-2</v>
      </c>
      <c r="CF384" s="5">
        <v>0.53112144749545798</v>
      </c>
      <c r="CG384" s="5">
        <v>-0.39802923788487199</v>
      </c>
      <c r="CH384" s="5">
        <v>0.24430238876280799</v>
      </c>
      <c r="CI384" s="5">
        <v>-0.101282356690376</v>
      </c>
      <c r="CJ384" s="5">
        <v>-7.9230857041811993E-3</v>
      </c>
      <c r="CK384" s="5">
        <v>0.31145087860396198</v>
      </c>
      <c r="CL384" s="5">
        <v>0.308529538557276</v>
      </c>
      <c r="CM384" s="5">
        <v>-0.23832650222467</v>
      </c>
      <c r="CN384" s="5">
        <v>0.253734323586841</v>
      </c>
      <c r="CO384" s="5">
        <v>-0.13656495117614501</v>
      </c>
      <c r="CP384" s="5">
        <v>0.425790052299024</v>
      </c>
      <c r="CQ384" s="5">
        <v>-0.22350379549358701</v>
      </c>
      <c r="CR384" s="5">
        <v>0.47404143647397401</v>
      </c>
      <c r="CS384" s="5">
        <v>-0.36199759354196598</v>
      </c>
      <c r="CT384" s="5">
        <v>0.165305412850239</v>
      </c>
      <c r="CU384" s="5">
        <v>-8.8314755690472604E-2</v>
      </c>
      <c r="CV384" s="5">
        <v>0.46128649087468299</v>
      </c>
      <c r="CW384" s="5">
        <v>-0.338906209283314</v>
      </c>
      <c r="CX384" s="5">
        <v>0.27338958290499799</v>
      </c>
      <c r="CY384" s="5">
        <v>3.0009600995464802E-2</v>
      </c>
      <c r="CZ384" s="5">
        <v>0.50251657470035405</v>
      </c>
      <c r="DA384" s="5">
        <v>-0.35320379300826898</v>
      </c>
      <c r="DB384" s="5">
        <v>0.24520147077672</v>
      </c>
      <c r="DC384" s="5">
        <v>0.14176710056191699</v>
      </c>
      <c r="DD384" s="5">
        <v>0.43527724085269398</v>
      </c>
      <c r="DE384" s="5">
        <v>-0.185792096330296</v>
      </c>
      <c r="DF384" s="5">
        <v>0.38045421671972801</v>
      </c>
      <c r="DG384" s="5">
        <v>-0.14090343340879</v>
      </c>
      <c r="DH384" s="5">
        <v>0.41317724707082898</v>
      </c>
      <c r="DI384" s="5">
        <v>-0.11175364457238</v>
      </c>
      <c r="DJ384" s="5">
        <v>5.1553940639123198E-2</v>
      </c>
      <c r="DK384" s="5">
        <v>-1.34390738777979E-2</v>
      </c>
      <c r="DL384" s="5">
        <v>0.54058130589514497</v>
      </c>
      <c r="DM384" s="5">
        <v>-0.27457804580988898</v>
      </c>
      <c r="DN384" s="5">
        <v>-5.4793508891906102E-2</v>
      </c>
      <c r="DO384" s="5">
        <v>5.5349605949001297E-2</v>
      </c>
      <c r="DP384" s="5">
        <v>0.18452703777923399</v>
      </c>
      <c r="DQ384" s="5">
        <v>8.21321337955387E-2</v>
      </c>
      <c r="DR384" s="5">
        <v>0.26705160688021801</v>
      </c>
      <c r="DS384" s="5">
        <v>-1.9218523333364702E-2</v>
      </c>
      <c r="DT384" s="5">
        <v>0.219503543644924</v>
      </c>
      <c r="DU384" s="5">
        <v>-7.8473050941629305E-2</v>
      </c>
      <c r="DV384" s="5">
        <v>0.44785988215832101</v>
      </c>
      <c r="DW384" s="5">
        <v>-0.287651692989635</v>
      </c>
      <c r="DX384" s="5">
        <v>2.71519252185741E-2</v>
      </c>
      <c r="DY384" s="5">
        <v>0.114032547550691</v>
      </c>
      <c r="DZ384" s="5">
        <v>0.28457212833629297</v>
      </c>
      <c r="EA384" s="5">
        <v>-0.23311277821311499</v>
      </c>
      <c r="EB384" s="5">
        <v>0.533697223101819</v>
      </c>
      <c r="EC384" s="5">
        <v>-0.31834940059283401</v>
      </c>
      <c r="ED384" s="5">
        <v>0.52749968122811297</v>
      </c>
      <c r="EE384" s="5">
        <v>-0.310498774536208</v>
      </c>
      <c r="EF384" s="5">
        <v>0.45319158161963002</v>
      </c>
      <c r="EG384" s="5">
        <v>-0.35255485410975401</v>
      </c>
      <c r="EH384" s="5">
        <v>0.60667284634754504</v>
      </c>
      <c r="EI384" s="5">
        <v>-0.35550491688767399</v>
      </c>
      <c r="EJ384" s="5">
        <v>0.58641435851853696</v>
      </c>
      <c r="EK384" s="5">
        <v>-0.35099047568569303</v>
      </c>
      <c r="EL384" s="5">
        <v>0.54735344619069404</v>
      </c>
      <c r="EM384" s="5">
        <v>-0.33753490409717002</v>
      </c>
      <c r="EN384" s="5">
        <v>8.7974710498423703E-2</v>
      </c>
      <c r="EO384" s="5">
        <v>0.28155875346946002</v>
      </c>
      <c r="EP384" s="5">
        <v>0.53977018308606395</v>
      </c>
      <c r="EQ384" s="5">
        <v>-0.43804313012028701</v>
      </c>
      <c r="ER384" s="5">
        <v>0.51592339304856705</v>
      </c>
      <c r="ES384" s="5">
        <v>-0.31950706069406298</v>
      </c>
      <c r="ET384" s="5">
        <v>0.56706819363230099</v>
      </c>
      <c r="EU384" s="5">
        <v>-0.47092979095673299</v>
      </c>
      <c r="EV384" s="5">
        <v>0.41231067104383501</v>
      </c>
      <c r="EW384" s="5">
        <v>-0.28624103993491801</v>
      </c>
      <c r="EX384" s="5">
        <v>0.32259650606003398</v>
      </c>
      <c r="EY384" s="5">
        <v>-0.18491129882030799</v>
      </c>
      <c r="EZ384" s="5">
        <v>0.46139844551888698</v>
      </c>
      <c r="FA384" s="5">
        <v>-0.24389875586899801</v>
      </c>
      <c r="FB384" s="5">
        <v>0.32656218335791498</v>
      </c>
      <c r="FC384" s="5">
        <v>-7.1503783489126393E-2</v>
      </c>
      <c r="FD384" s="5">
        <v>0.38379028954085498</v>
      </c>
      <c r="FE384" s="5">
        <v>-0.24724138016166</v>
      </c>
      <c r="FF384" s="5">
        <v>0.311019490708066</v>
      </c>
      <c r="FG384" s="5">
        <v>-9.3659051642081395E-2</v>
      </c>
      <c r="FH384" s="5">
        <v>0.34896836076916499</v>
      </c>
      <c r="FI384" s="5">
        <v>-9.7248895068116806E-2</v>
      </c>
      <c r="FJ384" s="5">
        <v>0.35245189992829601</v>
      </c>
      <c r="FK384" s="5">
        <v>-4.9963122614626203E-2</v>
      </c>
      <c r="FL384" s="5">
        <v>-5.6206508067841901E-2</v>
      </c>
      <c r="FM384" s="5">
        <v>0.23496755587621301</v>
      </c>
      <c r="FN384" s="5">
        <v>0.37790729404344198</v>
      </c>
      <c r="FO384" s="5">
        <v>8.1032746622800595E-3</v>
      </c>
      <c r="FP384" s="5">
        <v>0.30796821457819001</v>
      </c>
      <c r="FQ384" s="5">
        <v>5.2749362803220901E-2</v>
      </c>
      <c r="FR384" s="5">
        <v>-0.112240274032432</v>
      </c>
      <c r="FS384" s="5">
        <v>0.167248139965365</v>
      </c>
      <c r="FT384" s="5">
        <v>0.23117795046046599</v>
      </c>
      <c r="FU384" s="5">
        <v>0.16558446293481199</v>
      </c>
      <c r="FV384" s="5">
        <v>0.29659075945677899</v>
      </c>
      <c r="FW384" s="5">
        <v>5.1403506001150699E-2</v>
      </c>
      <c r="FX384" s="5">
        <v>0.429518486900893</v>
      </c>
      <c r="FY384" s="5">
        <v>-0.29477340700545102</v>
      </c>
      <c r="FZ384" s="5">
        <v>0.33565135246814598</v>
      </c>
      <c r="GA384" s="5">
        <v>7.5109622776510204E-2</v>
      </c>
      <c r="GB384" s="5">
        <v>0.30024327200635598</v>
      </c>
      <c r="GC384" s="5">
        <v>-6.4001293857427E-3</v>
      </c>
      <c r="GD384" s="5">
        <v>4.0741801414506701E-2</v>
      </c>
      <c r="GE384" s="5">
        <v>6.0451843907306402E-2</v>
      </c>
      <c r="GF384" s="5">
        <v>0.42396845226410901</v>
      </c>
      <c r="GG384" s="5">
        <v>-0.221411960527086</v>
      </c>
      <c r="GH384" s="5">
        <v>-0.131026786888292</v>
      </c>
      <c r="GI384" s="5">
        <v>0.18222355384775399</v>
      </c>
      <c r="GJ384" s="5">
        <v>0.40084177100460899</v>
      </c>
      <c r="GK384" s="5">
        <v>-0.248716002485427</v>
      </c>
      <c r="GL384" s="5">
        <v>0.44698108907349499</v>
      </c>
      <c r="GM384" s="5">
        <v>-0.34009682023314097</v>
      </c>
      <c r="GN384" s="5">
        <v>0.33199512485932697</v>
      </c>
      <c r="GO384" s="5">
        <v>-3.3105608381373698E-2</v>
      </c>
      <c r="GP384" s="5">
        <v>0.36691579198615698</v>
      </c>
      <c r="GQ384" s="5">
        <v>-5.3119388075644203E-2</v>
      </c>
      <c r="GR384" s="5">
        <v>0.37463029089909</v>
      </c>
      <c r="GS384" s="5">
        <v>-0.20197004534472399</v>
      </c>
      <c r="GT384" s="5">
        <v>0.249821225774772</v>
      </c>
      <c r="GU384" s="5">
        <v>0.169614101966861</v>
      </c>
      <c r="GV384" s="5">
        <v>0.55927646598522596</v>
      </c>
      <c r="GW384" s="5">
        <v>-0.44595113326500402</v>
      </c>
      <c r="GX384" s="5">
        <v>0.201481770770506</v>
      </c>
      <c r="GY384" s="5">
        <v>0.109253197493641</v>
      </c>
      <c r="GZ384" s="5">
        <v>0.29358640811876502</v>
      </c>
      <c r="HA384" s="5">
        <v>-0.29942156000860998</v>
      </c>
      <c r="HB384" s="5">
        <v>0.52768090543454005</v>
      </c>
      <c r="HC384" s="5">
        <v>-0.40377317047033801</v>
      </c>
      <c r="HD384" s="5">
        <v>0.44433450900774701</v>
      </c>
      <c r="HE384" s="5">
        <v>-0.105787351312903</v>
      </c>
      <c r="HF384" s="5">
        <v>0.117631227755431</v>
      </c>
      <c r="HG384" s="5">
        <v>-5.7714561078172098E-2</v>
      </c>
      <c r="HH384" s="5">
        <v>0.23010648923721699</v>
      </c>
      <c r="HI384" s="5">
        <v>-9.1508394764071896E-2</v>
      </c>
      <c r="HJ384" s="5">
        <v>9.0677965665579993E-2</v>
      </c>
      <c r="HK384" s="5">
        <v>-4.6076507990857801E-2</v>
      </c>
      <c r="HL384" s="5">
        <v>0.427517283329373</v>
      </c>
      <c r="HM384" s="5">
        <v>-0.14090032928662399</v>
      </c>
      <c r="HN384" s="5">
        <v>0.26355911494183099</v>
      </c>
      <c r="HO384" s="5">
        <v>-6.9551126036861394E-2</v>
      </c>
      <c r="HP384" s="5">
        <v>0.23835330289949799</v>
      </c>
      <c r="HQ384" s="5">
        <v>6.9161949110269794E-2</v>
      </c>
      <c r="HR384" s="5">
        <v>0.495326513331868</v>
      </c>
      <c r="HS384" s="5">
        <v>-0.27134301015082801</v>
      </c>
      <c r="HT384" s="5">
        <v>0.32920567725230099</v>
      </c>
      <c r="HU384" s="5">
        <v>-0.10467276693685899</v>
      </c>
      <c r="HV384" s="5">
        <v>0.28246424493855099</v>
      </c>
      <c r="HW384" s="5">
        <v>-2.1228901904239501E-2</v>
      </c>
      <c r="HX384" s="5">
        <v>0.37340928517565902</v>
      </c>
      <c r="HY384" s="5">
        <v>-0.12505333067725699</v>
      </c>
      <c r="HZ384" s="5">
        <v>0.34145384594436601</v>
      </c>
      <c r="IA384" s="5">
        <v>-0.25114180358185301</v>
      </c>
      <c r="IB384" s="5">
        <v>-0.16797901548799901</v>
      </c>
      <c r="IC384" s="5">
        <v>0.23341934428781999</v>
      </c>
      <c r="ID384" s="5">
        <v>0.55722814374653196</v>
      </c>
      <c r="IE384" s="5">
        <v>-0.35295002918797402</v>
      </c>
      <c r="IF384" s="5">
        <v>0.376011727496051</v>
      </c>
      <c r="IG384" s="5">
        <v>-9.3573828084464197E-2</v>
      </c>
      <c r="IH384" s="5">
        <v>0.46729418918737597</v>
      </c>
      <c r="II384" s="5">
        <v>-0.36585208076561498</v>
      </c>
      <c r="IJ384" s="5">
        <v>0.18797621340105899</v>
      </c>
      <c r="IK384" s="5">
        <v>-3.65784142990166E-2</v>
      </c>
      <c r="IL384" s="5">
        <v>0.37640839625074002</v>
      </c>
      <c r="IM384" s="5">
        <v>-0.117310416459999</v>
      </c>
      <c r="IN384" s="5">
        <v>0.48197361066844902</v>
      </c>
      <c r="IO384" s="5">
        <v>-0.270055259331344</v>
      </c>
      <c r="IP384" s="5">
        <v>0.78627946883280797</v>
      </c>
      <c r="IQ384" s="5">
        <v>-0.56930286387439899</v>
      </c>
      <c r="IR384" s="5">
        <v>0.10531949034400501</v>
      </c>
      <c r="IS384" s="5">
        <v>7.2244015031038597E-2</v>
      </c>
      <c r="IT384" s="5">
        <v>0.27099468915000802</v>
      </c>
      <c r="IU384" s="5">
        <v>-3.9077495839003702E-3</v>
      </c>
      <c r="IV384" s="5">
        <v>0.45385344881933998</v>
      </c>
      <c r="IW384" s="5">
        <v>-0.24434730425628801</v>
      </c>
      <c r="IX384" s="5">
        <v>0.48350346501465902</v>
      </c>
      <c r="IY384" s="5">
        <v>-0.313385515493463</v>
      </c>
      <c r="IZ384" s="5">
        <v>0.23305899320581699</v>
      </c>
      <c r="JA384" s="5">
        <v>-9.2284661160866102E-2</v>
      </c>
      <c r="JB384" s="5">
        <v>7.0341025397801602E-3</v>
      </c>
      <c r="JC384" s="5">
        <v>-2.8654148208876101E-2</v>
      </c>
      <c r="JD384" s="5">
        <v>0.31907438311859998</v>
      </c>
      <c r="JE384" s="5">
        <v>6.5866363309387596E-2</v>
      </c>
      <c r="JF384" s="5">
        <v>0.35729414507697799</v>
      </c>
      <c r="JG384" s="5">
        <v>-0.26230344913598302</v>
      </c>
      <c r="JH384" s="5">
        <v>0.3055149872156</v>
      </c>
      <c r="JI384" s="5">
        <v>-0.13327678883489499</v>
      </c>
      <c r="JJ384" s="5">
        <v>0.56390049532951803</v>
      </c>
      <c r="JK384" s="5">
        <v>-0.255320043710207</v>
      </c>
      <c r="JL384" s="5">
        <v>0.341712280556352</v>
      </c>
      <c r="JM384" s="5">
        <v>-2.4458748937483999E-2</v>
      </c>
      <c r="JN384" s="5">
        <v>0.51828799400007997</v>
      </c>
      <c r="JO384" s="5">
        <v>-0.40333049551344702</v>
      </c>
      <c r="JP384" s="5">
        <v>0.453857208683068</v>
      </c>
      <c r="JQ384" s="5">
        <v>-0.20474438688174501</v>
      </c>
      <c r="JR384" s="5">
        <v>0.31441985510072701</v>
      </c>
      <c r="JS384" s="5">
        <v>-3.5469880938982498E-2</v>
      </c>
      <c r="JT384" s="5">
        <v>0.11241971664622601</v>
      </c>
      <c r="JU384" s="5">
        <v>0.13177865998024199</v>
      </c>
      <c r="JV384" s="5">
        <v>0.34872640395835702</v>
      </c>
      <c r="JW384" s="5">
        <v>-6.2262506704550302E-2</v>
      </c>
      <c r="JX384" s="5">
        <v>0.24217628469219701</v>
      </c>
      <c r="JY384" s="5">
        <v>-0.15114749983113701</v>
      </c>
      <c r="JZ384" s="5">
        <v>0.43445116641308701</v>
      </c>
      <c r="KA384" s="5">
        <v>-0.33545462611716598</v>
      </c>
      <c r="KB384" s="5">
        <v>9.1200872640367095E-2</v>
      </c>
      <c r="KC384" s="5">
        <v>7.37378333672688E-3</v>
      </c>
      <c r="KD384" s="5">
        <v>0.397940236469076</v>
      </c>
      <c r="KE384" s="5">
        <v>-0.12627851128239201</v>
      </c>
      <c r="KF384" s="5">
        <v>0.29686706528807</v>
      </c>
      <c r="KG384" s="5">
        <v>-3.2379596806581902E-2</v>
      </c>
      <c r="KH384" s="5">
        <v>0.214308101200749</v>
      </c>
      <c r="KI384" s="5">
        <v>0.18076487971480901</v>
      </c>
      <c r="KJ384" s="5">
        <v>0.31908686878988002</v>
      </c>
      <c r="KK384" s="5">
        <v>-3.9354675707773699E-2</v>
      </c>
      <c r="KL384" s="5">
        <v>0.29426320023202501</v>
      </c>
      <c r="KM384" s="5">
        <v>-4.0316421925514601E-2</v>
      </c>
      <c r="KN384" s="5">
        <v>0.30743521007306701</v>
      </c>
      <c r="KO384" s="5">
        <v>-0.161480330866591</v>
      </c>
      <c r="KP384" s="5">
        <v>-0.24941284999086999</v>
      </c>
      <c r="KQ384" s="5">
        <v>0.28072943996363298</v>
      </c>
      <c r="KR384" s="5">
        <v>0.65584052367027701</v>
      </c>
      <c r="KS384" s="5">
        <v>-0.432936603061571</v>
      </c>
      <c r="KT384" s="5">
        <v>0.42230646176133402</v>
      </c>
      <c r="KU384" s="5">
        <v>-0.11798332850389801</v>
      </c>
      <c r="KV384" s="5">
        <v>0.51254785280144999</v>
      </c>
      <c r="KW384" s="5">
        <v>-0.25951224737082301</v>
      </c>
      <c r="KX384" s="5">
        <v>0.54369185809464704</v>
      </c>
      <c r="KY384" s="5">
        <v>-0.28040080747513502</v>
      </c>
      <c r="KZ384" s="5">
        <v>0.39021801144708401</v>
      </c>
      <c r="LA384" s="5">
        <v>-0.259146475813677</v>
      </c>
      <c r="LB384" s="5">
        <v>0.60019346280312802</v>
      </c>
      <c r="LC384" s="5">
        <v>-0.39869024181764701</v>
      </c>
      <c r="LD384" s="5">
        <v>0.43286931625418701</v>
      </c>
      <c r="LE384" s="5">
        <v>-0.25732415183653801</v>
      </c>
      <c r="LF384" s="5">
        <v>0.33695783162283699</v>
      </c>
      <c r="LG384" s="5">
        <v>-9.4573001675108403E-2</v>
      </c>
      <c r="LH384" s="5">
        <v>0.58252288201355695</v>
      </c>
      <c r="LI384" s="5">
        <v>-0.348361810613182</v>
      </c>
      <c r="LJ384" s="5">
        <v>0.31763442496854799</v>
      </c>
      <c r="LK384" s="5">
        <v>-6.9380452962398198E-2</v>
      </c>
      <c r="LL384" s="5">
        <v>0.60507453208342199</v>
      </c>
      <c r="LM384" s="5">
        <v>-0.41999253983881202</v>
      </c>
      <c r="LN384" s="5">
        <v>0.46126495847578902</v>
      </c>
      <c r="LO384" s="5">
        <v>-0.25281462385228698</v>
      </c>
      <c r="LP384" s="5">
        <v>0.402259488750349</v>
      </c>
      <c r="LQ384" s="5">
        <v>-0.32974761862152002</v>
      </c>
      <c r="LR384" s="5">
        <v>0.29804903634755803</v>
      </c>
      <c r="LS384" s="5">
        <v>-0.23869998737429901</v>
      </c>
      <c r="LT384" s="5">
        <v>0.34477978611638199</v>
      </c>
      <c r="LU384" s="5">
        <v>-0.227308452437055</v>
      </c>
      <c r="LV384" s="5">
        <v>4.5922583954682003E-2</v>
      </c>
      <c r="LW384" s="5">
        <v>-5.5393508367277203E-2</v>
      </c>
      <c r="LX384" s="5">
        <v>0.225095593504858</v>
      </c>
      <c r="LY384" s="5">
        <v>0.16404956865537301</v>
      </c>
      <c r="LZ384" s="5">
        <v>0.41446662408576801</v>
      </c>
      <c r="MA384" s="5">
        <v>-0.182595718124757</v>
      </c>
      <c r="MB384" s="5">
        <v>0.49516076339019899</v>
      </c>
      <c r="MC384" s="5">
        <v>-0.30093864418417399</v>
      </c>
      <c r="MD384" s="5">
        <v>0.34330391939868499</v>
      </c>
      <c r="ME384" s="5">
        <v>-0.16928002141066101</v>
      </c>
      <c r="MF384" s="5">
        <v>-5.9783192392926399E-2</v>
      </c>
      <c r="MG384" s="5">
        <v>0.146656820346138</v>
      </c>
      <c r="MH384" s="5">
        <v>0.340626535996082</v>
      </c>
      <c r="MI384" s="5">
        <v>4.4082184288456103E-2</v>
      </c>
      <c r="MJ384" s="5">
        <v>6.8160431315175601E-2</v>
      </c>
      <c r="MK384" s="5">
        <v>7.0874443893222297E-2</v>
      </c>
      <c r="ML384" s="5">
        <v>0.27749512550260502</v>
      </c>
      <c r="MM384" s="5">
        <v>-7.8582660285558298E-2</v>
      </c>
      <c r="MN384" s="5">
        <v>0.60012894112627801</v>
      </c>
      <c r="MO384" s="5">
        <v>-0.47038101537719101</v>
      </c>
      <c r="MP384" s="5">
        <v>0.219967744756494</v>
      </c>
      <c r="MQ384" s="5">
        <v>7.8385342122629098E-2</v>
      </c>
      <c r="MR384" s="5">
        <v>0.32521292604215601</v>
      </c>
      <c r="MS384" s="5">
        <v>-3.9986107457843499E-2</v>
      </c>
      <c r="MT384" s="5">
        <v>0.41576980362663202</v>
      </c>
      <c r="MU384" s="5">
        <v>-0.35081403689474999</v>
      </c>
      <c r="MV384" s="5">
        <v>0.47939354833136399</v>
      </c>
      <c r="MW384" s="5">
        <v>-0.246778726247213</v>
      </c>
      <c r="MX384" s="5">
        <v>0.44811912372865997</v>
      </c>
      <c r="MY384" s="5">
        <v>-0.19461331863106701</v>
      </c>
      <c r="MZ384" s="5">
        <v>0.55386400286091397</v>
      </c>
      <c r="NA384" s="5">
        <v>-0.388833233537134</v>
      </c>
      <c r="NB384" s="5">
        <v>0.205595331432538</v>
      </c>
      <c r="NC384" s="5">
        <v>-9.2248068839810501E-2</v>
      </c>
      <c r="ND384" s="5">
        <v>0.31029151679475703</v>
      </c>
      <c r="NE384" s="5">
        <v>8.6941214713877404E-2</v>
      </c>
      <c r="NF384" s="5">
        <v>0.13176867981432799</v>
      </c>
      <c r="NG384" s="5">
        <v>0.116181817213471</v>
      </c>
      <c r="NH384" s="5">
        <v>0.289722910891973</v>
      </c>
      <c r="NI384" s="5">
        <v>0.13441592427554799</v>
      </c>
      <c r="NJ384" s="5">
        <v>0.50472132272385795</v>
      </c>
      <c r="NK384" s="5">
        <v>-0.339961410896859</v>
      </c>
      <c r="NL384" s="5">
        <v>0.407704494908186</v>
      </c>
      <c r="NM384" s="5">
        <v>-0.22408952955127301</v>
      </c>
      <c r="NN384" s="5">
        <v>0.26542246422856702</v>
      </c>
      <c r="NO384" s="5">
        <v>-6.4769657315682794E-2</v>
      </c>
      <c r="NP384" s="5">
        <v>0.37942818121185801</v>
      </c>
      <c r="NQ384" s="5">
        <v>-0.22649247299291</v>
      </c>
      <c r="NR384" s="5">
        <v>0.52164009840538905</v>
      </c>
      <c r="NS384" s="5">
        <v>-0.25515441444579601</v>
      </c>
      <c r="NT384" s="5">
        <v>1</v>
      </c>
      <c r="NU384" s="5"/>
      <c r="NV384" s="5"/>
      <c r="NW384" s="5"/>
      <c r="NX384" s="5"/>
      <c r="NY384" s="5"/>
    </row>
    <row r="385" spans="1:389" x14ac:dyDescent="0.45">
      <c r="A385" s="4" t="str">
        <f ca="1">"ZAF / beta2dist in "&amp;CELL("address",'damages-1990'!$K$193)</f>
        <v>ZAF / beta2dist in '[BHM betas v3pd.xlsx]damages-1990'!$K$193</v>
      </c>
      <c r="B385" s="6">
        <v>-2.4269400323807699E-2</v>
      </c>
      <c r="C385" s="5">
        <v>0.105575849420969</v>
      </c>
      <c r="D385" s="5">
        <v>-0.37567733938943099</v>
      </c>
      <c r="E385" s="5">
        <v>0.63509721064061997</v>
      </c>
      <c r="F385" s="5">
        <v>-3.0901089347106898E-2</v>
      </c>
      <c r="G385" s="5">
        <v>2.6445456437434799E-2</v>
      </c>
      <c r="H385" s="5">
        <v>-8.7603871733613697E-2</v>
      </c>
      <c r="I385" s="5">
        <v>3.1184004659789301E-2</v>
      </c>
      <c r="J385" s="5">
        <v>-1.8920824252104802E-2</v>
      </c>
      <c r="K385" s="5">
        <v>0.17419864040567601</v>
      </c>
      <c r="L385" s="5">
        <v>0.105293010156998</v>
      </c>
      <c r="M385" s="5">
        <v>-0.14925533729472301</v>
      </c>
      <c r="N385" s="5">
        <v>-0.22611692342516601</v>
      </c>
      <c r="O385" s="5">
        <v>0.27520576826603999</v>
      </c>
      <c r="P385" s="5">
        <v>-0.39981536612254698</v>
      </c>
      <c r="Q385" s="5">
        <v>0.57187337841088803</v>
      </c>
      <c r="R385" s="5">
        <v>-6.3805064823151E-2</v>
      </c>
      <c r="S385" s="5">
        <v>0.31163680418308098</v>
      </c>
      <c r="T385" s="5">
        <v>-0.43804793385184998</v>
      </c>
      <c r="U385" s="5">
        <v>0.491131289478693</v>
      </c>
      <c r="V385" s="5">
        <v>-3.5485394276101698E-3</v>
      </c>
      <c r="W385" s="5">
        <v>4.28533766867756E-2</v>
      </c>
      <c r="X385" s="5">
        <v>-0.35640758674418299</v>
      </c>
      <c r="Y385" s="5">
        <v>0.58319334233475895</v>
      </c>
      <c r="Z385" s="5">
        <v>-0.18063803867522699</v>
      </c>
      <c r="AA385" s="5">
        <v>0.19535262841318499</v>
      </c>
      <c r="AB385" s="5">
        <v>-0.21851969373073399</v>
      </c>
      <c r="AC385" s="5">
        <v>0.420737627686459</v>
      </c>
      <c r="AD385" s="5">
        <v>-0.23246276123905199</v>
      </c>
      <c r="AE385" s="5">
        <v>0.42165272470688397</v>
      </c>
      <c r="AF385" s="5">
        <v>0.1149737645052</v>
      </c>
      <c r="AG385" s="5">
        <v>7.2140173163551299E-2</v>
      </c>
      <c r="AH385" s="5">
        <v>-0.123998297191399</v>
      </c>
      <c r="AI385" s="5">
        <v>0.15436617275134901</v>
      </c>
      <c r="AJ385" s="5">
        <v>2.5628230215775701E-2</v>
      </c>
      <c r="AK385" s="5">
        <v>0.102101978249383</v>
      </c>
      <c r="AL385" s="5">
        <v>0.19123871656243599</v>
      </c>
      <c r="AM385" s="5">
        <v>-0.14126328616058201</v>
      </c>
      <c r="AN385" s="5">
        <v>-0.32396147394340602</v>
      </c>
      <c r="AO385" s="5">
        <v>0.38770293176317899</v>
      </c>
      <c r="AP385" s="5">
        <v>-0.21304290741085699</v>
      </c>
      <c r="AQ385" s="5">
        <v>0.23282592434278199</v>
      </c>
      <c r="AR385" s="5">
        <v>-0.12560276871412701</v>
      </c>
      <c r="AS385" s="5">
        <v>0.29788334656656701</v>
      </c>
      <c r="AT385" s="5">
        <v>0.26615321391991098</v>
      </c>
      <c r="AU385" s="5">
        <v>-0.25202507138222502</v>
      </c>
      <c r="AV385" s="5">
        <v>5.7229691824769002E-2</v>
      </c>
      <c r="AW385" s="5">
        <v>0.18158289042940001</v>
      </c>
      <c r="AX385" s="5">
        <v>-0.13226287792623601</v>
      </c>
      <c r="AY385" s="5">
        <v>0.45370243664656201</v>
      </c>
      <c r="AZ385" s="5">
        <v>-0.42502348082705999</v>
      </c>
      <c r="BA385" s="5">
        <v>0.57264237063791401</v>
      </c>
      <c r="BB385" s="5">
        <v>-0.121471216069726</v>
      </c>
      <c r="BC385" s="5">
        <v>0.38584634967041398</v>
      </c>
      <c r="BD385" s="5">
        <v>-9.9608821784492596E-2</v>
      </c>
      <c r="BE385" s="5">
        <v>0.174196996525457</v>
      </c>
      <c r="BF385" s="5">
        <v>-0.44995990144904402</v>
      </c>
      <c r="BG385" s="5">
        <v>0.67544852791371301</v>
      </c>
      <c r="BH385" s="5">
        <v>-0.25238180917799902</v>
      </c>
      <c r="BI385" s="5">
        <v>0.50421355125599698</v>
      </c>
      <c r="BJ385" s="5">
        <v>-0.28543746765681</v>
      </c>
      <c r="BK385" s="5">
        <v>0.17435230571657201</v>
      </c>
      <c r="BL385" s="5">
        <v>-0.41345035181465201</v>
      </c>
      <c r="BM385" s="5">
        <v>0.45542878750427002</v>
      </c>
      <c r="BN385" s="5">
        <v>-4.4582049601808102E-2</v>
      </c>
      <c r="BO385" s="5">
        <v>-3.2230871606917802E-2</v>
      </c>
      <c r="BP385" s="5">
        <v>-5.5797427566426298E-2</v>
      </c>
      <c r="BQ385" s="5">
        <v>-7.4820995511090005E-2</v>
      </c>
      <c r="BR385" s="5">
        <v>-0.34347668067571202</v>
      </c>
      <c r="BS385" s="5">
        <v>0.54210299439078402</v>
      </c>
      <c r="BT385" s="5">
        <v>-0.16088476706410601</v>
      </c>
      <c r="BU385" s="5">
        <v>0.433394587816121</v>
      </c>
      <c r="BV385" s="5">
        <v>-0.22551801272010799</v>
      </c>
      <c r="BW385" s="5">
        <v>0.48498830623629802</v>
      </c>
      <c r="BX385" s="5">
        <v>-0.172133901756472</v>
      </c>
      <c r="BY385" s="5">
        <v>0.41810156366234102</v>
      </c>
      <c r="BZ385" s="5">
        <v>-0.1108561136895</v>
      </c>
      <c r="CA385" s="5">
        <v>0.37782292994973399</v>
      </c>
      <c r="CB385" s="5">
        <v>9.6596865969455995E-3</v>
      </c>
      <c r="CC385" s="5">
        <v>0.175681216711851</v>
      </c>
      <c r="CD385" s="5">
        <v>-8.3053831132100797E-2</v>
      </c>
      <c r="CE385" s="5">
        <v>0.22961873132697999</v>
      </c>
      <c r="CF385" s="5">
        <v>-0.36253278094323199</v>
      </c>
      <c r="CG385" s="5">
        <v>0.53147302412594299</v>
      </c>
      <c r="CH385" s="5">
        <v>0.13188200448399301</v>
      </c>
      <c r="CI385" s="5">
        <v>-7.3375620145877493E-2</v>
      </c>
      <c r="CJ385" s="5">
        <v>0.32436495501041601</v>
      </c>
      <c r="CK385" s="5">
        <v>-0.35421180913179101</v>
      </c>
      <c r="CL385" s="5">
        <v>-0.34842561010777401</v>
      </c>
      <c r="CM385" s="5">
        <v>0.39721016868544401</v>
      </c>
      <c r="CN385" s="5">
        <v>-0.25242432271227</v>
      </c>
      <c r="CO385" s="5">
        <v>0.28171692929518299</v>
      </c>
      <c r="CP385" s="5">
        <v>-0.29021762656674099</v>
      </c>
      <c r="CQ385" s="5">
        <v>0.39924013108123901</v>
      </c>
      <c r="CR385" s="5">
        <v>-0.44364016652567301</v>
      </c>
      <c r="CS385" s="5">
        <v>0.61192079920812104</v>
      </c>
      <c r="CT385" s="5">
        <v>-0.21104885579445001</v>
      </c>
      <c r="CU385" s="5">
        <v>0.21701489998350601</v>
      </c>
      <c r="CV385" s="5">
        <v>-0.32252189286310301</v>
      </c>
      <c r="CW385" s="5">
        <v>0.49313113538202802</v>
      </c>
      <c r="CX385" s="5">
        <v>9.5893936642700295E-2</v>
      </c>
      <c r="CY385" s="5">
        <v>3.9792491512861801E-2</v>
      </c>
      <c r="CZ385" s="5">
        <v>-0.19492815170005401</v>
      </c>
      <c r="DA385" s="5">
        <v>0.46040702477472101</v>
      </c>
      <c r="DB385" s="5">
        <v>0.153530571116582</v>
      </c>
      <c r="DC385" s="5">
        <v>-0.106346422312615</v>
      </c>
      <c r="DD385" s="5">
        <v>-0.27584289855232202</v>
      </c>
      <c r="DE385" s="5">
        <v>0.395650286031897</v>
      </c>
      <c r="DF385" s="5">
        <v>-0.107276147269045</v>
      </c>
      <c r="DG385" s="5">
        <v>0.25668690718804998</v>
      </c>
      <c r="DH385" s="5">
        <v>-0.13657627684669399</v>
      </c>
      <c r="DI385" s="5">
        <v>0.24940883425781299</v>
      </c>
      <c r="DJ385" s="5">
        <v>-0.184424171080281</v>
      </c>
      <c r="DK385" s="5">
        <v>0.19497098432804699</v>
      </c>
      <c r="DL385" s="5">
        <v>-0.27356230927792102</v>
      </c>
      <c r="DM385" s="5">
        <v>0.46978390020865302</v>
      </c>
      <c r="DN385" s="5">
        <v>-0.148910356854596</v>
      </c>
      <c r="DO385" s="5">
        <v>0.137083845471654</v>
      </c>
      <c r="DP385" s="5">
        <v>0.26870131751703002</v>
      </c>
      <c r="DQ385" s="5">
        <v>-0.23829589542775001</v>
      </c>
      <c r="DR385" s="5">
        <v>-0.123716436613203</v>
      </c>
      <c r="DS385" s="5">
        <v>0.15245783909378</v>
      </c>
      <c r="DT385" s="5">
        <v>-1.73427657565094E-2</v>
      </c>
      <c r="DU385" s="5">
        <v>8.5590073101136102E-2</v>
      </c>
      <c r="DV385" s="5">
        <v>-0.20644142436122501</v>
      </c>
      <c r="DW385" s="5">
        <v>0.41128164272983397</v>
      </c>
      <c r="DX385" s="5">
        <v>-6.3330722516571999E-2</v>
      </c>
      <c r="DY385" s="5">
        <v>2.7510832812643601E-2</v>
      </c>
      <c r="DZ385" s="5">
        <v>-0.251706660474116</v>
      </c>
      <c r="EA385" s="5">
        <v>0.33398124661621198</v>
      </c>
      <c r="EB385" s="5">
        <v>-0.30073207709855299</v>
      </c>
      <c r="EC385" s="5">
        <v>0.49165754388765198</v>
      </c>
      <c r="ED385" s="5">
        <v>-0.25720182052282697</v>
      </c>
      <c r="EE385" s="5">
        <v>0.49000700323521401</v>
      </c>
      <c r="EF385" s="5">
        <v>-0.45912277613969699</v>
      </c>
      <c r="EG385" s="5">
        <v>0.61597631180858803</v>
      </c>
      <c r="EH385" s="5">
        <v>-0.31721370807364901</v>
      </c>
      <c r="EI385" s="5">
        <v>0.52023934644871594</v>
      </c>
      <c r="EJ385" s="5">
        <v>-0.29855268289402698</v>
      </c>
      <c r="EK385" s="5">
        <v>0.52722478784601501</v>
      </c>
      <c r="EL385" s="5">
        <v>-0.16984085844594701</v>
      </c>
      <c r="EM385" s="5">
        <v>0.37694310872049502</v>
      </c>
      <c r="EN385" s="5">
        <v>0.324702036418476</v>
      </c>
      <c r="EO385" s="5">
        <v>-0.39702044191165797</v>
      </c>
      <c r="EP385" s="5">
        <v>-0.455484835947569</v>
      </c>
      <c r="EQ385" s="5">
        <v>0.61288926387772102</v>
      </c>
      <c r="ER385" s="5">
        <v>-0.15362398729260099</v>
      </c>
      <c r="ES385" s="5">
        <v>0.37162937466156198</v>
      </c>
      <c r="ET385" s="5">
        <v>-0.302160388065151</v>
      </c>
      <c r="EU385" s="5">
        <v>0.57335882557236295</v>
      </c>
      <c r="EV385" s="5">
        <v>-0.15185803252915001</v>
      </c>
      <c r="EW385" s="5">
        <v>0.40058194743165998</v>
      </c>
      <c r="EX385" s="5">
        <v>3.9188998393539301E-2</v>
      </c>
      <c r="EY385" s="5">
        <v>0.14606060584432801</v>
      </c>
      <c r="EZ385" s="5">
        <v>-0.139117136341669</v>
      </c>
      <c r="FA385" s="5">
        <v>0.33490599641442298</v>
      </c>
      <c r="FB385" s="5">
        <v>-0.14509625937491899</v>
      </c>
      <c r="FC385" s="5">
        <v>0.173505018173328</v>
      </c>
      <c r="FD385" s="5">
        <v>-0.15677812066890801</v>
      </c>
      <c r="FE385" s="5">
        <v>0.33481270966068599</v>
      </c>
      <c r="FF385" s="5">
        <v>-0.169677723048972</v>
      </c>
      <c r="FG385" s="5">
        <v>0.19161725565510401</v>
      </c>
      <c r="FH385" s="5">
        <v>0.185798578478092</v>
      </c>
      <c r="FI385" s="5">
        <v>-0.116852402161949</v>
      </c>
      <c r="FJ385" s="5">
        <v>-3.3499085948669897E-2</v>
      </c>
      <c r="FK385" s="5">
        <v>0.22054013336668599</v>
      </c>
      <c r="FL385" s="5">
        <v>8.91890102242478E-2</v>
      </c>
      <c r="FM385" s="5">
        <v>-0.15671360161832401</v>
      </c>
      <c r="FN385" s="5">
        <v>-3.8742957547921703E-2</v>
      </c>
      <c r="FO385" s="5">
        <v>0.101267103860612</v>
      </c>
      <c r="FP385" s="5">
        <v>7.8930793673212596E-2</v>
      </c>
      <c r="FQ385" s="5">
        <v>-5.6327295912422803E-2</v>
      </c>
      <c r="FR385" s="5">
        <v>0.103802285086945</v>
      </c>
      <c r="FS385" s="5">
        <v>-0.18821257854572801</v>
      </c>
      <c r="FT385" s="5">
        <v>0.19213468930538</v>
      </c>
      <c r="FU385" s="5">
        <v>-0.17891040046585899</v>
      </c>
      <c r="FV385" s="5">
        <v>1.26451789398836E-2</v>
      </c>
      <c r="FW385" s="5">
        <v>-2.4137230605072502E-2</v>
      </c>
      <c r="FX385" s="5">
        <v>-0.17370334502132601</v>
      </c>
      <c r="FY385" s="5">
        <v>0.34727692693564799</v>
      </c>
      <c r="FZ385" s="5">
        <v>0.106878670258079</v>
      </c>
      <c r="GA385" s="5">
        <v>-7.3284680639369798E-2</v>
      </c>
      <c r="GB385" s="5">
        <v>-0.12675312273047901</v>
      </c>
      <c r="GC385" s="5">
        <v>0.17163362660332199</v>
      </c>
      <c r="GD385" s="5">
        <v>-0.10657627369837699</v>
      </c>
      <c r="GE385" s="5">
        <v>7.95560348569887E-2</v>
      </c>
      <c r="GF385" s="5">
        <v>-0.12607106251286501</v>
      </c>
      <c r="GG385" s="5">
        <v>0.39485945721930998</v>
      </c>
      <c r="GH385" s="5">
        <v>7.2383691673626793E-2</v>
      </c>
      <c r="GI385" s="5">
        <v>-0.214912577818231</v>
      </c>
      <c r="GJ385" s="5">
        <v>-2.2874716235294398E-2</v>
      </c>
      <c r="GK385" s="5">
        <v>0.20807103262749799</v>
      </c>
      <c r="GL385" s="5">
        <v>-0.44446229734546</v>
      </c>
      <c r="GM385" s="5">
        <v>0.58375915540271806</v>
      </c>
      <c r="GN385" s="5">
        <v>-0.10118786096280399</v>
      </c>
      <c r="GO385" s="5">
        <v>0.15857539300506299</v>
      </c>
      <c r="GP385" s="5">
        <v>-1.4587403928730701E-2</v>
      </c>
      <c r="GQ385" s="5">
        <v>9.6991516597518701E-2</v>
      </c>
      <c r="GR385" s="5">
        <v>1.2681491895709799E-2</v>
      </c>
      <c r="GS385" s="5">
        <v>0.161504899710742</v>
      </c>
      <c r="GT385" s="5">
        <v>0.14028259686507399</v>
      </c>
      <c r="GU385" s="5">
        <v>-0.18991914972346099</v>
      </c>
      <c r="GV385" s="5">
        <v>-0.31860819182701799</v>
      </c>
      <c r="GW385" s="5">
        <v>0.58885106268620002</v>
      </c>
      <c r="GX385" s="5">
        <v>0.19269000851349399</v>
      </c>
      <c r="GY385" s="5">
        <v>-0.13701462230855199</v>
      </c>
      <c r="GZ385" s="5">
        <v>-0.42985674736491403</v>
      </c>
      <c r="HA385" s="5">
        <v>0.472422046836389</v>
      </c>
      <c r="HB385" s="5">
        <v>-0.17699624059448901</v>
      </c>
      <c r="HC385" s="5">
        <v>0.47303016598473202</v>
      </c>
      <c r="HD385" s="5">
        <v>-0.25434857754461998</v>
      </c>
      <c r="HE385" s="5">
        <v>0.40762261355260898</v>
      </c>
      <c r="HF385" s="5">
        <v>-0.21489142136703501</v>
      </c>
      <c r="HG385" s="5">
        <v>0.227672944557445</v>
      </c>
      <c r="HH385" s="5">
        <v>-0.21223293069094501</v>
      </c>
      <c r="HI385" s="5">
        <v>0.23384863973227099</v>
      </c>
      <c r="HJ385" s="5">
        <v>-0.20841221284123099</v>
      </c>
      <c r="HK385" s="5">
        <v>0.219739693518715</v>
      </c>
      <c r="HL385" s="5">
        <v>-9.9152270528493194E-2</v>
      </c>
      <c r="HM385" s="5">
        <v>0.271408964066089</v>
      </c>
      <c r="HN385" s="5">
        <v>-0.15096406261745701</v>
      </c>
      <c r="HO385" s="5">
        <v>0.19284582636240399</v>
      </c>
      <c r="HP385" s="5">
        <v>0.219125945191077</v>
      </c>
      <c r="HQ385" s="5">
        <v>-5.6650230811064697E-2</v>
      </c>
      <c r="HR385" s="5">
        <v>-1.9526188168091901E-2</v>
      </c>
      <c r="HS385" s="5">
        <v>0.22431827485779299</v>
      </c>
      <c r="HT385" s="5">
        <v>-0.19397696178433199</v>
      </c>
      <c r="HU385" s="5">
        <v>0.239070870936089</v>
      </c>
      <c r="HV385" s="5">
        <v>1.2351757731985999E-2</v>
      </c>
      <c r="HW385" s="5">
        <v>0.14728672600311399</v>
      </c>
      <c r="HX385" s="5">
        <v>5.8110197826514602E-2</v>
      </c>
      <c r="HY385" s="5">
        <v>0.14079350922197201</v>
      </c>
      <c r="HZ385" s="5">
        <v>-0.360850505459749</v>
      </c>
      <c r="IA385" s="5">
        <v>0.43555771390703402</v>
      </c>
      <c r="IB385" s="5">
        <v>6.1171481379588798E-2</v>
      </c>
      <c r="IC385" s="5">
        <v>-0.175805024145472</v>
      </c>
      <c r="ID385" s="5">
        <v>-0.19721306326121901</v>
      </c>
      <c r="IE385" s="5">
        <v>0.49288069129445999</v>
      </c>
      <c r="IF385" s="5">
        <v>-4.4872027257852602E-2</v>
      </c>
      <c r="IG385" s="5">
        <v>0.20765429351679801</v>
      </c>
      <c r="IH385" s="5">
        <v>-0.42650230641980202</v>
      </c>
      <c r="II385" s="5">
        <v>0.59753104997825501</v>
      </c>
      <c r="IJ385" s="5">
        <v>7.99758545998943E-2</v>
      </c>
      <c r="IK385" s="5">
        <v>-4.6002313575336601E-2</v>
      </c>
      <c r="IL385" s="5">
        <v>3.06611009339973E-2</v>
      </c>
      <c r="IM385" s="5">
        <v>0.17382198017934999</v>
      </c>
      <c r="IN385" s="5">
        <v>-2.95531829377816E-2</v>
      </c>
      <c r="IO385" s="5">
        <v>0.24869418834922299</v>
      </c>
      <c r="IP385" s="5">
        <v>-0.48917112417313902</v>
      </c>
      <c r="IQ385" s="5">
        <v>0.76886041447411502</v>
      </c>
      <c r="IR385" s="5">
        <v>0.222242252744598</v>
      </c>
      <c r="IS385" s="5">
        <v>-0.10004063448885001</v>
      </c>
      <c r="IT385" s="5">
        <v>3.8635344016146898E-2</v>
      </c>
      <c r="IU385" s="5">
        <v>0.113684927492771</v>
      </c>
      <c r="IV385" s="5">
        <v>-0.25027652520014099</v>
      </c>
      <c r="IW385" s="5">
        <v>0.43638708496157103</v>
      </c>
      <c r="IX385" s="5">
        <v>-0.23543312923224199</v>
      </c>
      <c r="IY385" s="5">
        <v>0.43922718045639397</v>
      </c>
      <c r="IZ385" s="5">
        <v>-0.20086450907036699</v>
      </c>
      <c r="JA385" s="5">
        <v>0.21146804331797101</v>
      </c>
      <c r="JB385" s="5">
        <v>-0.232998003822422</v>
      </c>
      <c r="JC385" s="5">
        <v>0.234978817209365</v>
      </c>
      <c r="JD385" s="5">
        <v>-3.53506182123971E-2</v>
      </c>
      <c r="JE385" s="5">
        <v>0.18338471352671701</v>
      </c>
      <c r="JF385" s="5">
        <v>-0.15918797543544699</v>
      </c>
      <c r="JG385" s="5">
        <v>0.274231769851561</v>
      </c>
      <c r="JH385" s="5">
        <v>-0.125340155590552</v>
      </c>
      <c r="JI385" s="5">
        <v>0.132221039295111</v>
      </c>
      <c r="JJ385" s="5">
        <v>-0.22344732269553</v>
      </c>
      <c r="JK385" s="5">
        <v>0.42772010185662901</v>
      </c>
      <c r="JL385" s="5">
        <v>-5.2197399872428302E-2</v>
      </c>
      <c r="JM385" s="5">
        <v>0.20967190661211699</v>
      </c>
      <c r="JN385" s="5">
        <v>-0.29041703589384599</v>
      </c>
      <c r="JO385" s="5">
        <v>0.51871670865599495</v>
      </c>
      <c r="JP385" s="5">
        <v>-3.2154776463525298E-2</v>
      </c>
      <c r="JQ385" s="5">
        <v>0.29952981868957201</v>
      </c>
      <c r="JR385" s="5">
        <v>0.14734380670226299</v>
      </c>
      <c r="JS385" s="5">
        <v>2.0718667087554401E-3</v>
      </c>
      <c r="JT385" s="5">
        <v>0.24734279050060101</v>
      </c>
      <c r="JU385" s="5">
        <v>-0.23016788374534</v>
      </c>
      <c r="JV385" s="5">
        <v>0.14525878585542301</v>
      </c>
      <c r="JW385" s="5">
        <v>-2.6245080087303599E-2</v>
      </c>
      <c r="JX385" s="5">
        <v>-0.27466909301876802</v>
      </c>
      <c r="JY385" s="5">
        <v>0.303123115290727</v>
      </c>
      <c r="JZ385" s="5">
        <v>-0.41294575033059799</v>
      </c>
      <c r="KA385" s="5">
        <v>0.58183885323728202</v>
      </c>
      <c r="KB385" s="5">
        <v>-0.19488502650858999</v>
      </c>
      <c r="KC385" s="5">
        <v>0.173868577278215</v>
      </c>
      <c r="KD385" s="5">
        <v>-0.119379437419698</v>
      </c>
      <c r="KE385" s="5">
        <v>0.21463378396066601</v>
      </c>
      <c r="KF385" s="5">
        <v>0.12654041793770901</v>
      </c>
      <c r="KG385" s="5">
        <v>-0.107365525603176</v>
      </c>
      <c r="KH385" s="5">
        <v>0.207424464332019</v>
      </c>
      <c r="KI385" s="5">
        <v>-0.19550768410339101</v>
      </c>
      <c r="KJ385" s="5">
        <v>1.2291231226483399E-2</v>
      </c>
      <c r="KK385" s="5">
        <v>0.126139793084839</v>
      </c>
      <c r="KL385" s="5">
        <v>7.5886082092050097E-2</v>
      </c>
      <c r="KM385" s="5">
        <v>-5.8790132813935601E-2</v>
      </c>
      <c r="KN385" s="5">
        <v>-0.25860188460222</v>
      </c>
      <c r="KO385" s="5">
        <v>0.322673914274275</v>
      </c>
      <c r="KP385" s="5">
        <v>3.9760573475766697E-2</v>
      </c>
      <c r="KQ385" s="5">
        <v>-0.13870389183471499</v>
      </c>
      <c r="KR385" s="5">
        <v>-0.358951621371074</v>
      </c>
      <c r="KS385" s="5">
        <v>0.59249169946476499</v>
      </c>
      <c r="KT385" s="5">
        <v>-4.9811971862205102E-2</v>
      </c>
      <c r="KU385" s="5">
        <v>0.19585658435467199</v>
      </c>
      <c r="KV385" s="5">
        <v>-0.26873602950623998</v>
      </c>
      <c r="KW385" s="5">
        <v>0.45513629119876597</v>
      </c>
      <c r="KX385" s="5">
        <v>-0.25856801392537399</v>
      </c>
      <c r="KY385" s="5">
        <v>0.45105235058110199</v>
      </c>
      <c r="KZ385" s="5">
        <v>-0.117144069488368</v>
      </c>
      <c r="LA385" s="5">
        <v>0.26526765521391399</v>
      </c>
      <c r="LB385" s="5">
        <v>-0.267129740991986</v>
      </c>
      <c r="LC385" s="5">
        <v>0.50981899394010299</v>
      </c>
      <c r="LD385" s="5">
        <v>-0.107410088893098</v>
      </c>
      <c r="LE385" s="5">
        <v>0.319359088898929</v>
      </c>
      <c r="LF385" s="5">
        <v>-0.16750259842274901</v>
      </c>
      <c r="LG385" s="5">
        <v>0.23107411372879799</v>
      </c>
      <c r="LH385" s="5">
        <v>-0.26279250749297101</v>
      </c>
      <c r="LI385" s="5">
        <v>0.48560134389981002</v>
      </c>
      <c r="LJ385" s="5">
        <v>-0.16249736827310901</v>
      </c>
      <c r="LK385" s="5">
        <v>0.19356953059669299</v>
      </c>
      <c r="LL385" s="5">
        <v>-0.386245460674777</v>
      </c>
      <c r="LM385" s="5">
        <v>0.59389077157565295</v>
      </c>
      <c r="LN385" s="5">
        <v>-0.164353527084974</v>
      </c>
      <c r="LO385" s="5">
        <v>0.29896936236069799</v>
      </c>
      <c r="LP385" s="5">
        <v>-0.124333509215292</v>
      </c>
      <c r="LQ385" s="5">
        <v>0.40318138618322302</v>
      </c>
      <c r="LR385" s="5">
        <v>-0.34704811326944801</v>
      </c>
      <c r="LS385" s="5">
        <v>0.40081420719342098</v>
      </c>
      <c r="LT385" s="5">
        <v>-0.350402877853488</v>
      </c>
      <c r="LU385" s="5">
        <v>0.408737302954297</v>
      </c>
      <c r="LV385" s="5">
        <v>-0.24985037527538401</v>
      </c>
      <c r="LW385" s="5">
        <v>0.24526459928972799</v>
      </c>
      <c r="LX385" s="5">
        <v>0.17265162248513499</v>
      </c>
      <c r="LY385" s="5">
        <v>-0.18101464882527701</v>
      </c>
      <c r="LZ385" s="5">
        <v>-9.6152228135630499E-2</v>
      </c>
      <c r="MA385" s="5">
        <v>0.29887196071098399</v>
      </c>
      <c r="MB385" s="5">
        <v>-0.25445143570684498</v>
      </c>
      <c r="MC385" s="5">
        <v>0.46102140430535499</v>
      </c>
      <c r="MD385" s="5">
        <v>7.1976408808491807E-2</v>
      </c>
      <c r="ME385" s="5">
        <v>6.9989960860555797E-2</v>
      </c>
      <c r="MF385" s="5">
        <v>6.7277786300359105E-2</v>
      </c>
      <c r="MG385" s="5">
        <v>-0.20573715179796601</v>
      </c>
      <c r="MH385" s="5">
        <v>4.9280985245033597E-3</v>
      </c>
      <c r="MI385" s="5">
        <v>5.5365056591504799E-2</v>
      </c>
      <c r="MJ385" s="5">
        <v>0.26229901850195603</v>
      </c>
      <c r="MK385" s="5">
        <v>-0.21901596644308599</v>
      </c>
      <c r="ML385" s="5">
        <v>7.6049152323469704E-2</v>
      </c>
      <c r="MM385" s="5">
        <v>-5.95714388768138E-2</v>
      </c>
      <c r="MN385" s="5">
        <v>-0.57536911146748604</v>
      </c>
      <c r="MO385" s="5">
        <v>0.70347066230449895</v>
      </c>
      <c r="MP385" s="5">
        <v>0.15412418292155</v>
      </c>
      <c r="MQ385" s="5">
        <v>-8.6860292050926602E-2</v>
      </c>
      <c r="MR385" s="5">
        <v>-6.3053853696207002E-2</v>
      </c>
      <c r="MS385" s="5">
        <v>9.1249958344370399E-2</v>
      </c>
      <c r="MT385" s="5">
        <v>-0.40079229400035898</v>
      </c>
      <c r="MU385" s="5">
        <v>0.47322206401422501</v>
      </c>
      <c r="MV385" s="5">
        <v>-3.8397755097488398E-2</v>
      </c>
      <c r="MW385" s="5">
        <v>0.24403611068339701</v>
      </c>
      <c r="MX385" s="5">
        <v>-8.0782410246140995E-2</v>
      </c>
      <c r="MY385" s="5">
        <v>0.29796904379341399</v>
      </c>
      <c r="MZ385" s="5">
        <v>-0.30615561348284598</v>
      </c>
      <c r="NA385" s="5">
        <v>0.52120287107271801</v>
      </c>
      <c r="NB385" s="5">
        <v>-0.21303031144899101</v>
      </c>
      <c r="NC385" s="5">
        <v>0.25487894899993802</v>
      </c>
      <c r="ND385" s="5">
        <v>6.4816801863250395E-2</v>
      </c>
      <c r="NE385" s="5">
        <v>-0.12268177338891301</v>
      </c>
      <c r="NF385" s="5">
        <v>-0.143279819800682</v>
      </c>
      <c r="NG385" s="5">
        <v>9.1337831244969497E-2</v>
      </c>
      <c r="NH385" s="5">
        <v>2.36039254595229E-2</v>
      </c>
      <c r="NI385" s="5">
        <v>-1.17074163950597E-2</v>
      </c>
      <c r="NJ385" s="5">
        <v>-0.22378617461723399</v>
      </c>
      <c r="NK385" s="5">
        <v>0.46000377188921698</v>
      </c>
      <c r="NL385" s="5">
        <v>1.9161855000459499E-2</v>
      </c>
      <c r="NM385" s="5">
        <v>0.193606869511737</v>
      </c>
      <c r="NN385" s="5">
        <v>0.131982782439415</v>
      </c>
      <c r="NO385" s="5">
        <v>-1.9770441673261401E-2</v>
      </c>
      <c r="NP385" s="5">
        <v>-0.13709469571037999</v>
      </c>
      <c r="NQ385" s="5">
        <v>0.23670404543168899</v>
      </c>
      <c r="NR385" s="5">
        <v>-0.14897363611843201</v>
      </c>
      <c r="NS385" s="5">
        <v>0.32959340267061199</v>
      </c>
      <c r="NT385" s="5">
        <v>-0.76105422974453696</v>
      </c>
      <c r="NU385" s="5">
        <v>1</v>
      </c>
      <c r="NV385" s="5"/>
      <c r="NW385" s="5"/>
      <c r="NX385" s="5"/>
      <c r="NY385" s="5"/>
    </row>
    <row r="386" spans="1:389" x14ac:dyDescent="0.45">
      <c r="A386" s="4" t="str">
        <f ca="1">"ZMB / beta1dist in "&amp;CELL("address",'damages-1990'!$J$194)</f>
        <v>ZMB / beta1dist in '[BHM betas v3pd.xlsx]damages-1990'!$J$194</v>
      </c>
      <c r="B386" s="6">
        <v>0.259910821614799</v>
      </c>
      <c r="C386" s="5">
        <v>1.6877862714410899E-2</v>
      </c>
      <c r="D386" s="5">
        <v>0.754769991273052</v>
      </c>
      <c r="E386" s="5">
        <v>-0.47056947512825598</v>
      </c>
      <c r="F386" s="5">
        <v>0.172611851258999</v>
      </c>
      <c r="G386" s="5">
        <v>3.9589303548341198E-3</v>
      </c>
      <c r="H386" s="5">
        <v>1.82528553875295E-2</v>
      </c>
      <c r="I386" s="5">
        <v>-5.4316004747620002E-2</v>
      </c>
      <c r="J386" s="5">
        <v>0.48030069188332097</v>
      </c>
      <c r="K386" s="5">
        <v>-0.246537660722704</v>
      </c>
      <c r="L386" s="5">
        <v>0.41997696407693202</v>
      </c>
      <c r="M386" s="5">
        <v>-0.141362828821955</v>
      </c>
      <c r="N386" s="5">
        <v>3.6097091530191599E-3</v>
      </c>
      <c r="O386" s="5">
        <v>4.3532174728190598E-2</v>
      </c>
      <c r="P386" s="5">
        <v>0.34252948840014003</v>
      </c>
      <c r="Q386" s="5">
        <v>-0.18614397148466799</v>
      </c>
      <c r="R386" s="5">
        <v>0.46192201408090799</v>
      </c>
      <c r="S386" s="5">
        <v>-0.229311125428623</v>
      </c>
      <c r="T386" s="5">
        <v>0.19993656902715801</v>
      </c>
      <c r="U386" s="5">
        <v>-0.22609032716012301</v>
      </c>
      <c r="V386" s="5">
        <v>0.21009028422828199</v>
      </c>
      <c r="W386" s="5">
        <v>8.8249109754556701E-2</v>
      </c>
      <c r="X386" s="5">
        <v>0.68716724017103104</v>
      </c>
      <c r="Y386" s="5">
        <v>-0.434521534397457</v>
      </c>
      <c r="Z386" s="5">
        <v>0.148457398011761</v>
      </c>
      <c r="AA386" s="5">
        <v>-0.10902139558512799</v>
      </c>
      <c r="AB386" s="5">
        <v>0.69065272117557897</v>
      </c>
      <c r="AC386" s="5">
        <v>-0.41941226122334702</v>
      </c>
      <c r="AD386" s="5">
        <v>0.59900761976300698</v>
      </c>
      <c r="AE386" s="5">
        <v>-0.29151625202130899</v>
      </c>
      <c r="AF386" s="5">
        <v>0.16893052228279001</v>
      </c>
      <c r="AG386" s="5">
        <v>5.4068250441209303E-2</v>
      </c>
      <c r="AH386" s="5">
        <v>0.21973612480400001</v>
      </c>
      <c r="AI386" s="5">
        <v>-9.2772718290024203E-2</v>
      </c>
      <c r="AJ386" s="5">
        <v>0.38830152224777997</v>
      </c>
      <c r="AK386" s="5">
        <v>-0.20346950653531801</v>
      </c>
      <c r="AL386" s="5">
        <v>0.20669562591865501</v>
      </c>
      <c r="AM386" s="5">
        <v>-4.5642916428833301E-2</v>
      </c>
      <c r="AN386" s="5">
        <v>0.19468933521585199</v>
      </c>
      <c r="AO386" s="5">
        <v>-0.13667698558427999</v>
      </c>
      <c r="AP386" s="5">
        <v>0.16146104191625399</v>
      </c>
      <c r="AQ386" s="5">
        <v>-0.15911747693832101</v>
      </c>
      <c r="AR386" s="5">
        <v>0.30567165405482799</v>
      </c>
      <c r="AS386" s="5">
        <v>-7.1196119300081295E-2</v>
      </c>
      <c r="AT386" s="5">
        <v>2.9777438094673502E-2</v>
      </c>
      <c r="AU386" s="5">
        <v>0.158429903474644</v>
      </c>
      <c r="AV386" s="5">
        <v>0.45798941128666398</v>
      </c>
      <c r="AW386" s="5">
        <v>-0.21105928804833499</v>
      </c>
      <c r="AX386" s="5">
        <v>0.52970543271269799</v>
      </c>
      <c r="AY386" s="5">
        <v>-0.31673208028788702</v>
      </c>
      <c r="AZ386" s="5">
        <v>0.411232116034977</v>
      </c>
      <c r="BA386" s="5">
        <v>-0.242656404019301</v>
      </c>
      <c r="BB386" s="5">
        <v>0.55266562634749505</v>
      </c>
      <c r="BC386" s="5">
        <v>-0.280213230891179</v>
      </c>
      <c r="BD386" s="5">
        <v>0.15212012988389101</v>
      </c>
      <c r="BE386" s="5">
        <v>0.101351503027303</v>
      </c>
      <c r="BF386" s="5">
        <v>0.64751923161898906</v>
      </c>
      <c r="BG386" s="5">
        <v>-0.43913668544286599</v>
      </c>
      <c r="BH386" s="5">
        <v>0.66576976528855503</v>
      </c>
      <c r="BI386" s="5">
        <v>-0.378133578086363</v>
      </c>
      <c r="BJ386" s="5">
        <v>-0.10563069945742</v>
      </c>
      <c r="BK386" s="5">
        <v>8.7858541011282695E-2</v>
      </c>
      <c r="BL386" s="5">
        <v>0.174646452823673</v>
      </c>
      <c r="BM386" s="5">
        <v>-0.22434541772344699</v>
      </c>
      <c r="BN386" s="5">
        <v>-9.4422085114649404E-2</v>
      </c>
      <c r="BO386" s="5">
        <v>0.20139833686237099</v>
      </c>
      <c r="BP386" s="5">
        <v>2.7708409566825801E-2</v>
      </c>
      <c r="BQ386" s="5">
        <v>6.1739608806861801E-2</v>
      </c>
      <c r="BR386" s="5">
        <v>0.58813904198015299</v>
      </c>
      <c r="BS386" s="5">
        <v>-0.32112748063462798</v>
      </c>
      <c r="BT386" s="5">
        <v>0.60571743934656896</v>
      </c>
      <c r="BU386" s="5">
        <v>-0.35266271266180199</v>
      </c>
      <c r="BV386" s="5">
        <v>0.72742495396762197</v>
      </c>
      <c r="BW386" s="5">
        <v>-0.44562530092993502</v>
      </c>
      <c r="BX386" s="5">
        <v>0.68561143655782197</v>
      </c>
      <c r="BY386" s="5">
        <v>-0.42851388772072002</v>
      </c>
      <c r="BZ386" s="5">
        <v>0.62386183951186702</v>
      </c>
      <c r="CA386" s="5">
        <v>-0.37453321163852799</v>
      </c>
      <c r="CB386" s="5">
        <v>0.37690638300074703</v>
      </c>
      <c r="CC386" s="5">
        <v>-0.20573481620831699</v>
      </c>
      <c r="CD386" s="5">
        <v>0.32992991912151598</v>
      </c>
      <c r="CE386" s="5">
        <v>-0.13038454657843901</v>
      </c>
      <c r="CF386" s="5">
        <v>0.43179330394557602</v>
      </c>
      <c r="CG386" s="5">
        <v>-0.195956760497356</v>
      </c>
      <c r="CH386" s="5">
        <v>0.14048721790209701</v>
      </c>
      <c r="CI386" s="5">
        <v>-4.9028956396108703E-3</v>
      </c>
      <c r="CJ386" s="5">
        <v>-5.98493034549612E-2</v>
      </c>
      <c r="CK386" s="5">
        <v>0.16511110407055599</v>
      </c>
      <c r="CL386" s="5">
        <v>0.22052758496642799</v>
      </c>
      <c r="CM386" s="5">
        <v>-0.21872307983629299</v>
      </c>
      <c r="CN386" s="5">
        <v>0.18348400680181501</v>
      </c>
      <c r="CO386" s="5">
        <v>-0.17071680852896101</v>
      </c>
      <c r="CP386" s="5">
        <v>0.445085128604717</v>
      </c>
      <c r="CQ386" s="5">
        <v>-0.1714359610841</v>
      </c>
      <c r="CR386" s="5">
        <v>0.343567889463614</v>
      </c>
      <c r="CS386" s="5">
        <v>-0.152647811897453</v>
      </c>
      <c r="CT386" s="5">
        <v>0.17939004384346999</v>
      </c>
      <c r="CU386" s="5">
        <v>-0.18404750709151799</v>
      </c>
      <c r="CV386" s="5">
        <v>0.553381683289485</v>
      </c>
      <c r="CW386" s="5">
        <v>-0.381930445638136</v>
      </c>
      <c r="CX386" s="5">
        <v>0.44021998461860201</v>
      </c>
      <c r="CY386" s="5">
        <v>-0.196017205663818</v>
      </c>
      <c r="CZ386" s="5">
        <v>0.63494667505131897</v>
      </c>
      <c r="DA386" s="5">
        <v>-0.43587581496969002</v>
      </c>
      <c r="DB386" s="5">
        <v>0.306804532083996</v>
      </c>
      <c r="DC386" s="5">
        <v>-3.9596235365131703E-2</v>
      </c>
      <c r="DD386" s="5">
        <v>0.45412491634024399</v>
      </c>
      <c r="DE386" s="5">
        <v>-0.171845632716184</v>
      </c>
      <c r="DF386" s="5">
        <v>0.29945552441067902</v>
      </c>
      <c r="DG386" s="5">
        <v>-5.5825019423930998E-2</v>
      </c>
      <c r="DH386" s="5">
        <v>0.209644608171559</v>
      </c>
      <c r="DI386" s="5">
        <v>-4.9802979642254597E-3</v>
      </c>
      <c r="DJ386" s="5">
        <v>9.9769391195686896E-2</v>
      </c>
      <c r="DK386" s="5">
        <v>-0.117432269760279</v>
      </c>
      <c r="DL386" s="5">
        <v>0.49864386225276203</v>
      </c>
      <c r="DM386" s="5">
        <v>-0.20851473401790099</v>
      </c>
      <c r="DN386" s="5">
        <v>-4.1923892570917302E-3</v>
      </c>
      <c r="DO386" s="5">
        <v>-3.8952611644025803E-2</v>
      </c>
      <c r="DP386" s="5">
        <v>0.30231194673714001</v>
      </c>
      <c r="DQ386" s="5">
        <v>-0.142913797965559</v>
      </c>
      <c r="DR386" s="5">
        <v>0.15561594790139199</v>
      </c>
      <c r="DS386" s="5">
        <v>-4.5441654109720897E-2</v>
      </c>
      <c r="DT386" s="5">
        <v>0.19850376557515501</v>
      </c>
      <c r="DU386" s="5">
        <v>-4.0752002487552702E-2</v>
      </c>
      <c r="DV386" s="5">
        <v>0.67036478458445503</v>
      </c>
      <c r="DW386" s="5">
        <v>-0.473992648703075</v>
      </c>
      <c r="DX386" s="5">
        <v>9.6485936538376796E-2</v>
      </c>
      <c r="DY386" s="5">
        <v>-7.8137921250864897E-2</v>
      </c>
      <c r="DZ386" s="5">
        <v>9.42310968629438E-2</v>
      </c>
      <c r="EA386" s="5">
        <v>-7.0823202181766895E-2</v>
      </c>
      <c r="EB386" s="5">
        <v>0.62647302090717105</v>
      </c>
      <c r="EC386" s="5">
        <v>-0.34738742128321498</v>
      </c>
      <c r="ED386" s="5">
        <v>0.63284175660774</v>
      </c>
      <c r="EE386" s="5">
        <v>-0.32318186290244699</v>
      </c>
      <c r="EF386" s="5">
        <v>0.34230530107107898</v>
      </c>
      <c r="EG386" s="5">
        <v>-0.170208641998112</v>
      </c>
      <c r="EH386" s="5">
        <v>0.60367221493953804</v>
      </c>
      <c r="EI386" s="5">
        <v>-0.30197003326206601</v>
      </c>
      <c r="EJ386" s="5">
        <v>0.67744103232366804</v>
      </c>
      <c r="EK386" s="5">
        <v>-0.37068201457902999</v>
      </c>
      <c r="EL386" s="5">
        <v>0.58873916973200202</v>
      </c>
      <c r="EM386" s="5">
        <v>-0.34818003800180702</v>
      </c>
      <c r="EN386" s="5">
        <v>0.101910509504734</v>
      </c>
      <c r="EO386" s="5">
        <v>8.5549058641477493E-2</v>
      </c>
      <c r="EP386" s="5">
        <v>0.47973060538432499</v>
      </c>
      <c r="EQ386" s="5">
        <v>-0.31561042446381499</v>
      </c>
      <c r="ER386" s="5">
        <v>0.36216785001128199</v>
      </c>
      <c r="ES386" s="5">
        <v>-0.113022759614434</v>
      </c>
      <c r="ET386" s="5">
        <v>0.43767230037586102</v>
      </c>
      <c r="EU386" s="5">
        <v>-0.30408307661241302</v>
      </c>
      <c r="EV386" s="5">
        <v>0.33021267500534301</v>
      </c>
      <c r="EW386" s="5">
        <v>-0.18597387569864501</v>
      </c>
      <c r="EX386" s="5">
        <v>0.20510826240622601</v>
      </c>
      <c r="EY386" s="5">
        <v>-9.2593561510233902E-2</v>
      </c>
      <c r="EZ386" s="5">
        <v>0.36261975888444697</v>
      </c>
      <c r="FA386" s="5">
        <v>-0.117934997305054</v>
      </c>
      <c r="FB386" s="5">
        <v>0.187108114596794</v>
      </c>
      <c r="FC386" s="5">
        <v>-4.8149622865983899E-2</v>
      </c>
      <c r="FD386" s="5">
        <v>0.43045399345088797</v>
      </c>
      <c r="FE386" s="5">
        <v>-0.25887339389238301</v>
      </c>
      <c r="FF386" s="5">
        <v>0.22100127486740201</v>
      </c>
      <c r="FG386" s="5">
        <v>-0.12509449144864301</v>
      </c>
      <c r="FH386" s="5">
        <v>0.38989756095774902</v>
      </c>
      <c r="FI386" s="5">
        <v>-9.14448279030321E-2</v>
      </c>
      <c r="FJ386" s="5">
        <v>0.442895260569247</v>
      </c>
      <c r="FK386" s="5">
        <v>-0.14692468225883201</v>
      </c>
      <c r="FL386" s="5">
        <v>7.0884734126129599E-3</v>
      </c>
      <c r="FM386" s="5">
        <v>4.9919966754393599E-2</v>
      </c>
      <c r="FN386" s="5">
        <v>0.46983387779005897</v>
      </c>
      <c r="FO386" s="5">
        <v>-0.21360263503381499</v>
      </c>
      <c r="FP386" s="5">
        <v>0.38812812751215298</v>
      </c>
      <c r="FQ386" s="5">
        <v>-0.14548541927661299</v>
      </c>
      <c r="FR386" s="5">
        <v>-0.12952167750061</v>
      </c>
      <c r="FS386" s="5">
        <v>0.234412043838791</v>
      </c>
      <c r="FT386" s="5">
        <v>0.27528013125425799</v>
      </c>
      <c r="FU386" s="5">
        <v>-2.6513073763307599E-2</v>
      </c>
      <c r="FV386" s="5">
        <v>0.17351278637929701</v>
      </c>
      <c r="FW386" s="5">
        <v>4.3755263719895097E-2</v>
      </c>
      <c r="FX386" s="5">
        <v>0.370487198130174</v>
      </c>
      <c r="FY386" s="5">
        <v>-0.189528121228875</v>
      </c>
      <c r="FZ386" s="5">
        <v>0.39439963268862799</v>
      </c>
      <c r="GA386" s="5">
        <v>-0.12013260572666799</v>
      </c>
      <c r="GB386" s="5">
        <v>0.192827384535977</v>
      </c>
      <c r="GC386" s="5">
        <v>-3.65260089015279E-2</v>
      </c>
      <c r="GD386" s="5">
        <v>-5.8879022335039596E-3</v>
      </c>
      <c r="GE386" s="5">
        <v>2.9718500845373901E-2</v>
      </c>
      <c r="GF386" s="5">
        <v>0.28890838362747401</v>
      </c>
      <c r="GG386" s="5">
        <v>-6.6513349360431795E-2</v>
      </c>
      <c r="GH386" s="5">
        <v>-0.30101578655460698</v>
      </c>
      <c r="GI386" s="5">
        <v>0.326472311070653</v>
      </c>
      <c r="GJ386" s="5">
        <v>0.46248486665935201</v>
      </c>
      <c r="GK386" s="5">
        <v>-0.32526533623883902</v>
      </c>
      <c r="GL386" s="5">
        <v>0.43476675385090002</v>
      </c>
      <c r="GM386" s="5">
        <v>-0.27276982205710998</v>
      </c>
      <c r="GN386" s="5">
        <v>0.2253290522103</v>
      </c>
      <c r="GO386" s="5">
        <v>-8.1462166479582196E-2</v>
      </c>
      <c r="GP386" s="5">
        <v>0.47694428234117098</v>
      </c>
      <c r="GQ386" s="5">
        <v>-0.26601827966523101</v>
      </c>
      <c r="GR386" s="5">
        <v>0.475163630313297</v>
      </c>
      <c r="GS386" s="5">
        <v>-0.33806301271045403</v>
      </c>
      <c r="GT386" s="5">
        <v>0.18924435579685001</v>
      </c>
      <c r="GU386" s="5">
        <v>8.7123379263171596E-2</v>
      </c>
      <c r="GV386" s="5">
        <v>0.62346743618113298</v>
      </c>
      <c r="GW386" s="5">
        <v>-0.42754757417524702</v>
      </c>
      <c r="GX386" s="5">
        <v>0.35600265844408102</v>
      </c>
      <c r="GY386" s="5">
        <v>-0.159573478855256</v>
      </c>
      <c r="GZ386" s="5">
        <v>0.17920370599219601</v>
      </c>
      <c r="HA386" s="5">
        <v>-0.22242367948351199</v>
      </c>
      <c r="HB386" s="5">
        <v>0.43998457831696303</v>
      </c>
      <c r="HC386" s="5">
        <v>-0.23798925222812101</v>
      </c>
      <c r="HD386" s="5">
        <v>0.136471830082045</v>
      </c>
      <c r="HE386" s="5">
        <v>0.19182083739958899</v>
      </c>
      <c r="HF386" s="5">
        <v>0.16276430005905801</v>
      </c>
      <c r="HG386" s="5">
        <v>-0.17221059707218001</v>
      </c>
      <c r="HH386" s="5">
        <v>0.15684288214550501</v>
      </c>
      <c r="HI386" s="5">
        <v>-0.13585495122171401</v>
      </c>
      <c r="HJ386" s="5">
        <v>0.146071665717495</v>
      </c>
      <c r="HK386" s="5">
        <v>-0.16383701053588101</v>
      </c>
      <c r="HL386" s="5">
        <v>0.315999531778625</v>
      </c>
      <c r="HM386" s="5">
        <v>-6.5322575650433701E-2</v>
      </c>
      <c r="HN386" s="5">
        <v>0.2118249734872</v>
      </c>
      <c r="HO386" s="5">
        <v>-0.12743707595852999</v>
      </c>
      <c r="HP386" s="5">
        <v>0.52801298850132505</v>
      </c>
      <c r="HQ386" s="5">
        <v>-0.32743530983347702</v>
      </c>
      <c r="HR386" s="5">
        <v>0.43646671259722197</v>
      </c>
      <c r="HS386" s="5">
        <v>-0.23396199515270799</v>
      </c>
      <c r="HT386" s="5">
        <v>0.18846853834970601</v>
      </c>
      <c r="HU386" s="5">
        <v>-7.2519880009741605E-2</v>
      </c>
      <c r="HV386" s="5">
        <v>0.49501821181505801</v>
      </c>
      <c r="HW386" s="5">
        <v>-0.20596513365104799</v>
      </c>
      <c r="HX386" s="5">
        <v>0.47096264794853399</v>
      </c>
      <c r="HY386" s="5">
        <v>-0.23327506723588901</v>
      </c>
      <c r="HZ386" s="5">
        <v>0.183293595942914</v>
      </c>
      <c r="IA386" s="5">
        <v>-0.15176591405346601</v>
      </c>
      <c r="IB386" s="5">
        <v>-1.5871546363768502E-2</v>
      </c>
      <c r="IC386" s="5">
        <v>-1.7604648389587099E-2</v>
      </c>
      <c r="ID386" s="5">
        <v>0.76459220261988603</v>
      </c>
      <c r="IE386" s="5">
        <v>-0.603465342169765</v>
      </c>
      <c r="IF386" s="5">
        <v>0.47227825613340801</v>
      </c>
      <c r="IG386" s="5">
        <v>-0.17402977794865601</v>
      </c>
      <c r="IH386" s="5">
        <v>0.37904794075688703</v>
      </c>
      <c r="II386" s="5">
        <v>-0.19290132499778501</v>
      </c>
      <c r="IJ386" s="5">
        <v>0.15311867249932601</v>
      </c>
      <c r="IK386" s="5">
        <v>-3.1806988462903203E-2</v>
      </c>
      <c r="IL386" s="5">
        <v>0.706672886413241</v>
      </c>
      <c r="IM386" s="5">
        <v>-0.53141511917138895</v>
      </c>
      <c r="IN386" s="5">
        <v>0.49644290509712502</v>
      </c>
      <c r="IO386" s="5">
        <v>-0.229645757819635</v>
      </c>
      <c r="IP386" s="5">
        <v>0.63904913116304896</v>
      </c>
      <c r="IQ386" s="5">
        <v>-0.37431205843807003</v>
      </c>
      <c r="IR386" s="5">
        <v>8.7585754274283299E-3</v>
      </c>
      <c r="IS386" s="5">
        <v>0.22073039632730901</v>
      </c>
      <c r="IT386" s="5">
        <v>0.47259828666638798</v>
      </c>
      <c r="IU386" s="5">
        <v>-0.21132891266963999</v>
      </c>
      <c r="IV386" s="5">
        <v>0.63636345136902495</v>
      </c>
      <c r="IW386" s="5">
        <v>-0.38414564359797398</v>
      </c>
      <c r="IX386" s="5">
        <v>0.41986198633882998</v>
      </c>
      <c r="IY386" s="5">
        <v>-0.205646237123354</v>
      </c>
      <c r="IZ386" s="5">
        <v>0.175862044493692</v>
      </c>
      <c r="JA386" s="5">
        <v>-0.14798576999965499</v>
      </c>
      <c r="JB386" s="5">
        <v>6.2584879822455697E-2</v>
      </c>
      <c r="JC386" s="5">
        <v>-0.14160847582098199</v>
      </c>
      <c r="JD386" s="5">
        <v>0.21821452936317001</v>
      </c>
      <c r="JE386" s="5">
        <v>9.5950006105844907E-2</v>
      </c>
      <c r="JF386" s="5">
        <v>0.40885156221959501</v>
      </c>
      <c r="JG386" s="5">
        <v>-0.31038028310532001</v>
      </c>
      <c r="JH386" s="5">
        <v>0.20600379302445901</v>
      </c>
      <c r="JI386" s="5">
        <v>-0.150312275697146</v>
      </c>
      <c r="JJ386" s="5">
        <v>0.53752243855163795</v>
      </c>
      <c r="JK386" s="5">
        <v>-0.241569782873293</v>
      </c>
      <c r="JL386" s="5">
        <v>0.37995898745523399</v>
      </c>
      <c r="JM386" s="5">
        <v>-0.12895547003338201</v>
      </c>
      <c r="JN386" s="5">
        <v>0.64280824580915197</v>
      </c>
      <c r="JO386" s="5">
        <v>-0.41984570605731703</v>
      </c>
      <c r="JP386" s="5">
        <v>0.48793981331033798</v>
      </c>
      <c r="JQ386" s="5">
        <v>-0.19062254680816301</v>
      </c>
      <c r="JR386" s="5">
        <v>0.273862407192972</v>
      </c>
      <c r="JS386" s="5">
        <v>2.91843347994536E-2</v>
      </c>
      <c r="JT386" s="5">
        <v>9.5178818780312702E-2</v>
      </c>
      <c r="JU386" s="5">
        <v>0.11583783334409301</v>
      </c>
      <c r="JV386" s="5">
        <v>0.39500481777697299</v>
      </c>
      <c r="JW386" s="5">
        <v>-0.113789952967372</v>
      </c>
      <c r="JX386" s="5">
        <v>0.22552007972107199</v>
      </c>
      <c r="JY386" s="5">
        <v>-0.215021039083097</v>
      </c>
      <c r="JZ386" s="5">
        <v>0.38830858940524698</v>
      </c>
      <c r="KA386" s="5">
        <v>-0.211842734489992</v>
      </c>
      <c r="KB386" s="5">
        <v>0.19487443382170799</v>
      </c>
      <c r="KC386" s="5">
        <v>-0.22047889219473299</v>
      </c>
      <c r="KD386" s="5">
        <v>0.17612230458283101</v>
      </c>
      <c r="KE386" s="5">
        <v>4.0557873120294803E-3</v>
      </c>
      <c r="KF386" s="5">
        <v>0.46348157038583399</v>
      </c>
      <c r="KG386" s="5">
        <v>-0.22386223240191699</v>
      </c>
      <c r="KH386" s="5">
        <v>0.27376847058616799</v>
      </c>
      <c r="KI386" s="5">
        <v>-3.19800635312101E-2</v>
      </c>
      <c r="KJ386" s="5">
        <v>0.39555376832184203</v>
      </c>
      <c r="KK386" s="5">
        <v>-0.202166781275706</v>
      </c>
      <c r="KL386" s="5">
        <v>0.17164825643800299</v>
      </c>
      <c r="KM386" s="5">
        <v>-2.3160317080463898E-3</v>
      </c>
      <c r="KN386" s="5">
        <v>0.214106316808543</v>
      </c>
      <c r="KO386" s="5">
        <v>-0.15146799603594299</v>
      </c>
      <c r="KP386" s="5">
        <v>-0.104381753062812</v>
      </c>
      <c r="KQ386" s="5">
        <v>5.8538776189628002E-2</v>
      </c>
      <c r="KR386" s="5">
        <v>0.63865457465176201</v>
      </c>
      <c r="KS386" s="5">
        <v>-0.38583374642225399</v>
      </c>
      <c r="KT386" s="5">
        <v>0.507895020182483</v>
      </c>
      <c r="KU386" s="5">
        <v>-0.25998367591180699</v>
      </c>
      <c r="KV386" s="5">
        <v>0.52993700185853698</v>
      </c>
      <c r="KW386" s="5">
        <v>-0.24010824465893901</v>
      </c>
      <c r="KX386" s="5">
        <v>0.59573525813435002</v>
      </c>
      <c r="KY386" s="5">
        <v>-0.27602335477630002</v>
      </c>
      <c r="KZ386" s="5">
        <v>0.31998740682700599</v>
      </c>
      <c r="LA386" s="5">
        <v>-0.172390315272165</v>
      </c>
      <c r="LB386" s="5">
        <v>0.53422296815585102</v>
      </c>
      <c r="LC386" s="5">
        <v>-0.27561073290580101</v>
      </c>
      <c r="LD386" s="5">
        <v>0.38205687533649502</v>
      </c>
      <c r="LE386" s="5">
        <v>-0.162780809752615</v>
      </c>
      <c r="LF386" s="5">
        <v>0.17822161804730799</v>
      </c>
      <c r="LG386" s="5">
        <v>-3.6156688982286397E-2</v>
      </c>
      <c r="LH386" s="5">
        <v>0.45489226834012603</v>
      </c>
      <c r="LI386" s="5">
        <v>-0.19292784456087</v>
      </c>
      <c r="LJ386" s="5">
        <v>0.19822944240274301</v>
      </c>
      <c r="LK386" s="5">
        <v>-7.1289133073181396E-2</v>
      </c>
      <c r="LL386" s="5">
        <v>0.54651249442947702</v>
      </c>
      <c r="LM386" s="5">
        <v>-0.31108937437961198</v>
      </c>
      <c r="LN386" s="5">
        <v>0.56301367312670203</v>
      </c>
      <c r="LO386" s="5">
        <v>-0.37684756178315199</v>
      </c>
      <c r="LP386" s="5">
        <v>0.29437774771247099</v>
      </c>
      <c r="LQ386" s="5">
        <v>-0.19377652990948499</v>
      </c>
      <c r="LR386" s="5">
        <v>0.235381428250173</v>
      </c>
      <c r="LS386" s="5">
        <v>-0.22909938898149301</v>
      </c>
      <c r="LT386" s="5">
        <v>0.19490632553076601</v>
      </c>
      <c r="LU386" s="5">
        <v>-0.162501043529865</v>
      </c>
      <c r="LV386" s="5">
        <v>8.2748536055467198E-2</v>
      </c>
      <c r="LW386" s="5">
        <v>-0.133584631788907</v>
      </c>
      <c r="LX386" s="5">
        <v>0.27368029561541002</v>
      </c>
      <c r="LY386" s="5">
        <v>-1.4303000915212199E-2</v>
      </c>
      <c r="LZ386" s="5">
        <v>0.51581498773008705</v>
      </c>
      <c r="MA386" s="5">
        <v>-0.265771912784242</v>
      </c>
      <c r="MB386" s="5">
        <v>0.69660103316746502</v>
      </c>
      <c r="MC386" s="5">
        <v>-0.43171426348581698</v>
      </c>
      <c r="MD386" s="5">
        <v>0.52727539430820702</v>
      </c>
      <c r="ME386" s="5">
        <v>-0.38484870669198901</v>
      </c>
      <c r="MF386" s="5">
        <v>-0.295872796570124</v>
      </c>
      <c r="MG386" s="5">
        <v>0.35661917322810999</v>
      </c>
      <c r="MH386" s="5">
        <v>0.36216914409693801</v>
      </c>
      <c r="MI386" s="5">
        <v>-9.6822261433195903E-2</v>
      </c>
      <c r="MJ386" s="5">
        <v>-4.8252955439931002E-2</v>
      </c>
      <c r="MK386" s="5">
        <v>0.24350473337218101</v>
      </c>
      <c r="ML386" s="5">
        <v>0.30789628252895401</v>
      </c>
      <c r="MM386" s="5">
        <v>-0.16568442893254001</v>
      </c>
      <c r="MN386" s="5">
        <v>0.43069524245895002</v>
      </c>
      <c r="MO386" s="5">
        <v>-0.242737808525474</v>
      </c>
      <c r="MP386" s="5">
        <v>0.28451301865654399</v>
      </c>
      <c r="MQ386" s="5">
        <v>-8.4511633425970803E-2</v>
      </c>
      <c r="MR386" s="5">
        <v>0.218500078270911</v>
      </c>
      <c r="MS386" s="5">
        <v>-3.9165222331042998E-2</v>
      </c>
      <c r="MT386" s="5">
        <v>0.30170645827173498</v>
      </c>
      <c r="MU386" s="5">
        <v>-0.20389124914519799</v>
      </c>
      <c r="MV386" s="5">
        <v>0.27806929011225501</v>
      </c>
      <c r="MW386" s="5">
        <v>-3.41492277535273E-2</v>
      </c>
      <c r="MX386" s="5">
        <v>0.486635462028007</v>
      </c>
      <c r="MY386" s="5">
        <v>-0.23695393169166701</v>
      </c>
      <c r="MZ386" s="5">
        <v>0.50599153246273199</v>
      </c>
      <c r="NA386" s="5">
        <v>-0.31337997121557298</v>
      </c>
      <c r="NB386" s="5">
        <v>0.22195895664078999</v>
      </c>
      <c r="NC386" s="5">
        <v>-0.19224291378333799</v>
      </c>
      <c r="ND386" s="5">
        <v>0.38717941494658697</v>
      </c>
      <c r="NE386" s="5">
        <v>-8.3986136937032801E-2</v>
      </c>
      <c r="NF386" s="5">
        <v>-7.7525878669180398E-2</v>
      </c>
      <c r="NG386" s="5">
        <v>0.25580322597077199</v>
      </c>
      <c r="NH386" s="5">
        <v>0.17051803294211301</v>
      </c>
      <c r="NI386" s="5">
        <v>0.16767462114613599</v>
      </c>
      <c r="NJ386" s="5">
        <v>0.61925172868281297</v>
      </c>
      <c r="NK386" s="5">
        <v>-0.39867623800325402</v>
      </c>
      <c r="NL386" s="5">
        <v>0.48486962861222799</v>
      </c>
      <c r="NM386" s="5">
        <v>-0.35973151904042999</v>
      </c>
      <c r="NN386" s="5">
        <v>0.207723994464761</v>
      </c>
      <c r="NO386" s="5">
        <v>-3.3485974031715403E-2</v>
      </c>
      <c r="NP386" s="5">
        <v>0.45351052473346898</v>
      </c>
      <c r="NQ386" s="5">
        <v>-0.29488034850813399</v>
      </c>
      <c r="NR386" s="5">
        <v>0.534094082662671</v>
      </c>
      <c r="NS386" s="5">
        <v>-0.26270611537569299</v>
      </c>
      <c r="NT386" s="5">
        <v>0.534817144423541</v>
      </c>
      <c r="NU386" s="5">
        <v>-0.27855016500670798</v>
      </c>
      <c r="NV386" s="5">
        <v>1</v>
      </c>
      <c r="NW386" s="5"/>
      <c r="NX386" s="5"/>
      <c r="NY386" s="5"/>
    </row>
    <row r="387" spans="1:389" x14ac:dyDescent="0.45">
      <c r="A387" s="4" t="str">
        <f ca="1">"ZMB / beta2dist in "&amp;CELL("address",'damages-1990'!$K$194)</f>
        <v>ZMB / beta2dist in '[BHM betas v3pd.xlsx]damages-1990'!$K$194</v>
      </c>
      <c r="B387" s="6">
        <v>-0.114681651084911</v>
      </c>
      <c r="C387" s="5">
        <v>0.26446524551415002</v>
      </c>
      <c r="D387" s="5">
        <v>-0.46580935981562599</v>
      </c>
      <c r="E387" s="5">
        <v>0.67418757486355196</v>
      </c>
      <c r="F387" s="5">
        <v>-8.1847410450981095E-2</v>
      </c>
      <c r="G387" s="5">
        <v>0.185528077612341</v>
      </c>
      <c r="H387" s="5">
        <v>-0.18251732999695999</v>
      </c>
      <c r="I387" s="5">
        <v>0.154708882870146</v>
      </c>
      <c r="J387" s="5">
        <v>-0.19169750935739399</v>
      </c>
      <c r="K387" s="5">
        <v>0.41583838467873402</v>
      </c>
      <c r="L387" s="5">
        <v>-0.119416148690181</v>
      </c>
      <c r="M387" s="5">
        <v>0.21280709730993699</v>
      </c>
      <c r="N387" s="5">
        <v>-3.1089977114384999E-2</v>
      </c>
      <c r="O387" s="5">
        <v>-2.03190890782377E-2</v>
      </c>
      <c r="P387" s="5">
        <v>-0.260076483360828</v>
      </c>
      <c r="Q387" s="5">
        <v>0.37087491624616697</v>
      </c>
      <c r="R387" s="5">
        <v>-0.15469345031041601</v>
      </c>
      <c r="S387" s="5">
        <v>0.40268887993775099</v>
      </c>
      <c r="T387" s="5">
        <v>-0.35789291934008</v>
      </c>
      <c r="U387" s="5">
        <v>0.39524495088280498</v>
      </c>
      <c r="V387" s="5">
        <v>-6.83282809802773E-3</v>
      </c>
      <c r="W387" s="5">
        <v>6.8587109773439403E-2</v>
      </c>
      <c r="X387" s="5">
        <v>-0.43527209601320699</v>
      </c>
      <c r="Y387" s="5">
        <v>0.64752453330629101</v>
      </c>
      <c r="Z387" s="5">
        <v>-0.204102378277917</v>
      </c>
      <c r="AA387" s="5">
        <v>0.28547455442103897</v>
      </c>
      <c r="AB387" s="5">
        <v>-0.45049601027209901</v>
      </c>
      <c r="AC387" s="5">
        <v>0.56110851034104503</v>
      </c>
      <c r="AD387" s="5">
        <v>-0.40125546296489201</v>
      </c>
      <c r="AE387" s="5">
        <v>0.482846863310255</v>
      </c>
      <c r="AF387" s="5">
        <v>0.159380253100741</v>
      </c>
      <c r="AG387" s="5">
        <v>4.0421338615146104E-3</v>
      </c>
      <c r="AH387" s="5">
        <v>-0.171200677080971</v>
      </c>
      <c r="AI387" s="5">
        <v>0.271467224032576</v>
      </c>
      <c r="AJ387" s="5">
        <v>-0.13355452143631799</v>
      </c>
      <c r="AK387" s="5">
        <v>0.37919324673031302</v>
      </c>
      <c r="AL387" s="5">
        <v>0.17890946921696199</v>
      </c>
      <c r="AM387" s="5">
        <v>-0.12363925960064601</v>
      </c>
      <c r="AN387" s="5">
        <v>-0.25745592666443801</v>
      </c>
      <c r="AO387" s="5">
        <v>0.33433106734222601</v>
      </c>
      <c r="AP387" s="5">
        <v>-0.37757661332162301</v>
      </c>
      <c r="AQ387" s="5">
        <v>0.41029308832502498</v>
      </c>
      <c r="AR387" s="5">
        <v>4.67961408259992E-2</v>
      </c>
      <c r="AS387" s="5">
        <v>7.1048125163673995E-2</v>
      </c>
      <c r="AT387" s="5">
        <v>0.33257408712971198</v>
      </c>
      <c r="AU387" s="5">
        <v>-0.320604847345063</v>
      </c>
      <c r="AV387" s="5">
        <v>-4.7922227342443398E-2</v>
      </c>
      <c r="AW387" s="5">
        <v>0.27037708094478402</v>
      </c>
      <c r="AX387" s="5">
        <v>-0.14860212052653601</v>
      </c>
      <c r="AY387" s="5">
        <v>0.40718129404299902</v>
      </c>
      <c r="AZ387" s="5">
        <v>-0.29878342132142399</v>
      </c>
      <c r="BA387" s="5">
        <v>0.39467768836869299</v>
      </c>
      <c r="BB387" s="5">
        <v>-0.24833024545795501</v>
      </c>
      <c r="BC387" s="5">
        <v>0.45682061610831598</v>
      </c>
      <c r="BD387" s="5">
        <v>-0.114406898884464</v>
      </c>
      <c r="BE387" s="5">
        <v>0.23644765394915801</v>
      </c>
      <c r="BF387" s="5">
        <v>-0.37180989661243702</v>
      </c>
      <c r="BG387" s="5">
        <v>0.55916544602839302</v>
      </c>
      <c r="BH387" s="5">
        <v>-0.35948344315122399</v>
      </c>
      <c r="BI387" s="5">
        <v>0.54535826912946905</v>
      </c>
      <c r="BJ387" s="5">
        <v>-0.16522108431277299</v>
      </c>
      <c r="BK387" s="5">
        <v>-3.6089997402314E-2</v>
      </c>
      <c r="BL387" s="5">
        <v>-0.35464212411400903</v>
      </c>
      <c r="BM387" s="5">
        <v>0.37921684619384699</v>
      </c>
      <c r="BN387" s="5">
        <v>6.0433031074296803E-2</v>
      </c>
      <c r="BO387" s="5">
        <v>-0.122825394920904</v>
      </c>
      <c r="BP387" s="5">
        <v>-0.16030316675784201</v>
      </c>
      <c r="BQ387" s="5">
        <v>0.122517886534669</v>
      </c>
      <c r="BR387" s="5">
        <v>-0.45520439293972897</v>
      </c>
      <c r="BS387" s="5">
        <v>0.56504827579330597</v>
      </c>
      <c r="BT387" s="5">
        <v>-0.25603408370582698</v>
      </c>
      <c r="BU387" s="5">
        <v>0.494595334968225</v>
      </c>
      <c r="BV387" s="5">
        <v>-0.45133666872428002</v>
      </c>
      <c r="BW387" s="5">
        <v>0.65416271736278597</v>
      </c>
      <c r="BX387" s="5">
        <v>-0.44058280239202202</v>
      </c>
      <c r="BY387" s="5">
        <v>0.61871148437657197</v>
      </c>
      <c r="BZ387" s="5">
        <v>-0.35958840520803997</v>
      </c>
      <c r="CA387" s="5">
        <v>0.54571585537289502</v>
      </c>
      <c r="CB387" s="5">
        <v>-0.106603429482116</v>
      </c>
      <c r="CC387" s="5">
        <v>0.25428458175894503</v>
      </c>
      <c r="CD387" s="5">
        <v>-0.18195520367999199</v>
      </c>
      <c r="CE387" s="5">
        <v>0.24927671912652</v>
      </c>
      <c r="CF387" s="5">
        <v>-0.20946922362442899</v>
      </c>
      <c r="CG387" s="5">
        <v>0.27847422700486901</v>
      </c>
      <c r="CH387" s="5">
        <v>0.23883233684868199</v>
      </c>
      <c r="CI387" s="5">
        <v>-0.180994459252663</v>
      </c>
      <c r="CJ387" s="5">
        <v>0.30087088747760099</v>
      </c>
      <c r="CK387" s="5">
        <v>-0.12218293627278699</v>
      </c>
      <c r="CL387" s="5">
        <v>-0.32868300595066602</v>
      </c>
      <c r="CM387" s="5">
        <v>0.385255984366771</v>
      </c>
      <c r="CN387" s="5">
        <v>-0.276001240378557</v>
      </c>
      <c r="CO387" s="5">
        <v>0.35011511704293802</v>
      </c>
      <c r="CP387" s="5">
        <v>-0.38981068101704902</v>
      </c>
      <c r="CQ387" s="5">
        <v>0.41870811313645401</v>
      </c>
      <c r="CR387" s="5">
        <v>-0.244374479479435</v>
      </c>
      <c r="CS387" s="5">
        <v>0.339827884643911</v>
      </c>
      <c r="CT387" s="5">
        <v>-0.30906401569783398</v>
      </c>
      <c r="CU387" s="5">
        <v>0.35192350513569798</v>
      </c>
      <c r="CV387" s="5">
        <v>-0.41970042469733299</v>
      </c>
      <c r="CW387" s="5">
        <v>0.54450772711903495</v>
      </c>
      <c r="CX387" s="5">
        <v>-0.14028808719889799</v>
      </c>
      <c r="CY387" s="5">
        <v>0.33437704333188101</v>
      </c>
      <c r="CZ387" s="5">
        <v>-0.37771325742152601</v>
      </c>
      <c r="DA387" s="5">
        <v>0.57238523210311298</v>
      </c>
      <c r="DB387" s="5">
        <v>2.61197263621166E-2</v>
      </c>
      <c r="DC387" s="5">
        <v>0.15827081298193099</v>
      </c>
      <c r="DD387" s="5">
        <v>-0.33358367662557997</v>
      </c>
      <c r="DE387" s="5">
        <v>0.41801812072401001</v>
      </c>
      <c r="DF387" s="5">
        <v>-4.70913199051805E-2</v>
      </c>
      <c r="DG387" s="5">
        <v>0.183657427641991</v>
      </c>
      <c r="DH387" s="5">
        <v>-6.3755042505576301E-2</v>
      </c>
      <c r="DI387" s="5">
        <v>0.24256680266884301</v>
      </c>
      <c r="DJ387" s="5">
        <v>-0.329642006528436</v>
      </c>
      <c r="DK387" s="5">
        <v>0.35125100493293998</v>
      </c>
      <c r="DL387" s="5">
        <v>-0.28194874099995598</v>
      </c>
      <c r="DM387" s="5">
        <v>0.45038795915239499</v>
      </c>
      <c r="DN387" s="5">
        <v>-0.26890730177861599</v>
      </c>
      <c r="DO387" s="5">
        <v>0.25796849488309598</v>
      </c>
      <c r="DP387" s="5">
        <v>3.9073046973545598E-2</v>
      </c>
      <c r="DQ387" s="5">
        <v>8.6318591462343205E-2</v>
      </c>
      <c r="DR387" s="5">
        <v>-0.13707212944927299</v>
      </c>
      <c r="DS387" s="5">
        <v>0.24558516169823599</v>
      </c>
      <c r="DT387" s="5">
        <v>-0.102614640334962</v>
      </c>
      <c r="DU387" s="5">
        <v>0.15160688417315599</v>
      </c>
      <c r="DV387" s="5">
        <v>-0.52168267494884601</v>
      </c>
      <c r="DW387" s="5">
        <v>0.68996632729932195</v>
      </c>
      <c r="DX387" s="5">
        <v>-0.233782409317179</v>
      </c>
      <c r="DY387" s="5">
        <v>0.27190482513833297</v>
      </c>
      <c r="DZ387" s="5">
        <v>-0.128333756457397</v>
      </c>
      <c r="EA387" s="5">
        <v>0.14369412652876801</v>
      </c>
      <c r="EB387" s="5">
        <v>-0.42004304594160802</v>
      </c>
      <c r="EC387" s="5">
        <v>0.54304493456112402</v>
      </c>
      <c r="ED387" s="5">
        <v>-0.42565766363459301</v>
      </c>
      <c r="EE387" s="5">
        <v>0.54837512043475001</v>
      </c>
      <c r="EF387" s="5">
        <v>-0.27193095948292101</v>
      </c>
      <c r="EG387" s="5">
        <v>0.36415954329840999</v>
      </c>
      <c r="EH387" s="5">
        <v>-0.34255476273760899</v>
      </c>
      <c r="EI387" s="5">
        <v>0.48510194383643301</v>
      </c>
      <c r="EJ387" s="5">
        <v>-0.43287290327334099</v>
      </c>
      <c r="EK387" s="5">
        <v>0.57421773077932403</v>
      </c>
      <c r="EL387" s="5">
        <v>-0.25447951104744698</v>
      </c>
      <c r="EM387" s="5">
        <v>0.42715138612096998</v>
      </c>
      <c r="EN387" s="5">
        <v>0.13490083836115199</v>
      </c>
      <c r="EO387" s="5">
        <v>-3.8788280940591398E-2</v>
      </c>
      <c r="EP387" s="5">
        <v>-0.36901670605944598</v>
      </c>
      <c r="EQ387" s="5">
        <v>0.48247985497377999</v>
      </c>
      <c r="ER387" s="5">
        <v>-2.4180552174400901E-2</v>
      </c>
      <c r="ES387" s="5">
        <v>0.179902867285685</v>
      </c>
      <c r="ET387" s="5">
        <v>-8.4460043848774993E-2</v>
      </c>
      <c r="EU387" s="5">
        <v>0.33030699421297299</v>
      </c>
      <c r="EV387" s="5">
        <v>-2.8719507617709601E-2</v>
      </c>
      <c r="EW387" s="5">
        <v>0.28775165541590703</v>
      </c>
      <c r="EX387" s="5">
        <v>0.19015288796386101</v>
      </c>
      <c r="EY387" s="5">
        <v>3.23500612427833E-2</v>
      </c>
      <c r="EZ387" s="5">
        <v>-3.9392708832610597E-2</v>
      </c>
      <c r="FA387" s="5">
        <v>0.21570883832367599</v>
      </c>
      <c r="FB387" s="5">
        <v>-0.13491328690240401</v>
      </c>
      <c r="FC387" s="5">
        <v>0.22608950755243901</v>
      </c>
      <c r="FD387" s="5">
        <v>-0.20289647687697801</v>
      </c>
      <c r="FE387" s="5">
        <v>0.34595978730239502</v>
      </c>
      <c r="FF387" s="5">
        <v>-0.20191584679982499</v>
      </c>
      <c r="FG387" s="5">
        <v>0.29121292061874998</v>
      </c>
      <c r="FH387" s="5">
        <v>9.9122028685260405E-2</v>
      </c>
      <c r="FI387" s="5">
        <v>-6.3208247933919298E-2</v>
      </c>
      <c r="FJ387" s="5">
        <v>-0.16891703853012899</v>
      </c>
      <c r="FK387" s="5">
        <v>0.350320462187726</v>
      </c>
      <c r="FL387" s="5">
        <v>-8.3086780990321796E-2</v>
      </c>
      <c r="FM387" s="5">
        <v>8.2305843083891994E-2</v>
      </c>
      <c r="FN387" s="5">
        <v>-0.22824845466666199</v>
      </c>
      <c r="FO387" s="5">
        <v>0.40417231210719201</v>
      </c>
      <c r="FP387" s="5">
        <v>-7.6890499279252206E-2</v>
      </c>
      <c r="FQ387" s="5">
        <v>0.23429119537806101</v>
      </c>
      <c r="FR387" s="5">
        <v>0.13311411672791501</v>
      </c>
      <c r="FS387" s="5">
        <v>-0.29722085230259898</v>
      </c>
      <c r="FT387" s="5">
        <v>3.5181912074292297E-2</v>
      </c>
      <c r="FU387" s="5">
        <v>0.15106906751339799</v>
      </c>
      <c r="FV387" s="5">
        <v>-2.1971263487301398E-2</v>
      </c>
      <c r="FW387" s="5">
        <v>0.11540668653212</v>
      </c>
      <c r="FX387" s="5">
        <v>-9.3192161813923494E-2</v>
      </c>
      <c r="FY387" s="5">
        <v>0.21579011566949</v>
      </c>
      <c r="FZ387" s="5">
        <v>-7.0290990555153907E-2</v>
      </c>
      <c r="GA387" s="5">
        <v>0.262276642583956</v>
      </c>
      <c r="GB387" s="5">
        <v>-0.171206737579328</v>
      </c>
      <c r="GC387" s="5">
        <v>0.30780200256160001</v>
      </c>
      <c r="GD387" s="5">
        <v>-0.14686931199599099</v>
      </c>
      <c r="GE387" s="5">
        <v>0.141440485799392</v>
      </c>
      <c r="GF387" s="5">
        <v>-1.9768865880625701E-2</v>
      </c>
      <c r="GG387" s="5">
        <v>0.27021178878343199</v>
      </c>
      <c r="GH387" s="5">
        <v>0.24483777387515801</v>
      </c>
      <c r="GI387" s="5">
        <v>-0.44758607395143102</v>
      </c>
      <c r="GJ387" s="5">
        <v>-4.9736976310068397E-2</v>
      </c>
      <c r="GK387" s="5">
        <v>0.26958664884284</v>
      </c>
      <c r="GL387" s="5">
        <v>-0.380333042900239</v>
      </c>
      <c r="GM387" s="5">
        <v>0.47601483039112902</v>
      </c>
      <c r="GN387" s="5">
        <v>-0.16191651598687801</v>
      </c>
      <c r="GO387" s="5">
        <v>0.34986508217304002</v>
      </c>
      <c r="GP387" s="5">
        <v>-0.17499720132386101</v>
      </c>
      <c r="GQ387" s="5">
        <v>0.38417086225247399</v>
      </c>
      <c r="GR387" s="5">
        <v>-9.5204406760815402E-2</v>
      </c>
      <c r="GS387" s="5">
        <v>0.321417408275599</v>
      </c>
      <c r="GT387" s="5">
        <v>5.5885264853676501E-2</v>
      </c>
      <c r="GU387" s="5">
        <v>2.3821142126823298E-2</v>
      </c>
      <c r="GV387" s="5">
        <v>-0.44354395953414</v>
      </c>
      <c r="GW387" s="5">
        <v>0.608817564739914</v>
      </c>
      <c r="GX387" s="5">
        <v>-3.2558310231061399E-2</v>
      </c>
      <c r="GY387" s="5">
        <v>0.212419878124218</v>
      </c>
      <c r="GZ387" s="5">
        <v>-0.35947872929208102</v>
      </c>
      <c r="HA387" s="5">
        <v>0.38164281346657097</v>
      </c>
      <c r="HB387" s="5">
        <v>-0.12696015363027799</v>
      </c>
      <c r="HC387" s="5">
        <v>0.342666621563815</v>
      </c>
      <c r="HD387" s="5">
        <v>-4.7741647340339602E-2</v>
      </c>
      <c r="HE387" s="5">
        <v>0.103701261690077</v>
      </c>
      <c r="HF387" s="5">
        <v>-0.36375688497821501</v>
      </c>
      <c r="HG387" s="5">
        <v>0.399298519741837</v>
      </c>
      <c r="HH387" s="5">
        <v>-0.235879871221959</v>
      </c>
      <c r="HI387" s="5">
        <v>0.31562242144710501</v>
      </c>
      <c r="HJ387" s="5">
        <v>-0.36269273900007398</v>
      </c>
      <c r="HK387" s="5">
        <v>0.39103339411580701</v>
      </c>
      <c r="HL387" s="5">
        <v>-6.5331887165810607E-2</v>
      </c>
      <c r="HM387" s="5">
        <v>0.25068657229566799</v>
      </c>
      <c r="HN387" s="5">
        <v>-0.217939940001496</v>
      </c>
      <c r="HO387" s="5">
        <v>0.30901066028263702</v>
      </c>
      <c r="HP387" s="5">
        <v>-9.7177370077783001E-2</v>
      </c>
      <c r="HQ387" s="5">
        <v>0.35980655723841298</v>
      </c>
      <c r="HR387" s="5">
        <v>-2.38024534926745E-2</v>
      </c>
      <c r="HS387" s="5">
        <v>0.25141884608198201</v>
      </c>
      <c r="HT387" s="5">
        <v>-0.19115059568812101</v>
      </c>
      <c r="HU387" s="5">
        <v>0.29108641122013401</v>
      </c>
      <c r="HV387" s="5">
        <v>-0.24674413279440399</v>
      </c>
      <c r="HW387" s="5">
        <v>0.3748299462818</v>
      </c>
      <c r="HX387" s="5">
        <v>-0.117504744105485</v>
      </c>
      <c r="HY387" s="5">
        <v>0.33495985670991602</v>
      </c>
      <c r="HZ387" s="5">
        <v>-0.286050570258639</v>
      </c>
      <c r="IA387" s="5">
        <v>0.34746718814689698</v>
      </c>
      <c r="IB387" s="5">
        <v>-0.162467635220336</v>
      </c>
      <c r="IC387" s="5">
        <v>0.10534624336666699</v>
      </c>
      <c r="ID387" s="5">
        <v>-0.38809871528534701</v>
      </c>
      <c r="IE387" s="5">
        <v>0.72463121079382598</v>
      </c>
      <c r="IF387" s="5">
        <v>-0.193806644827175</v>
      </c>
      <c r="IG387" s="5">
        <v>0.34120783779242497</v>
      </c>
      <c r="IH387" s="5">
        <v>-0.26662456038197802</v>
      </c>
      <c r="II387" s="5">
        <v>0.36556695158019498</v>
      </c>
      <c r="IJ387" s="5">
        <v>8.3058210284713704E-2</v>
      </c>
      <c r="IK387" s="5">
        <v>-2.4766737154089499E-2</v>
      </c>
      <c r="IL387" s="5">
        <v>-0.34388888979193799</v>
      </c>
      <c r="IM387" s="5">
        <v>0.65965589733241603</v>
      </c>
      <c r="IN387" s="5">
        <v>-6.5953042418942398E-2</v>
      </c>
      <c r="IO387" s="5">
        <v>0.22599723446800299</v>
      </c>
      <c r="IP387" s="5">
        <v>-0.34050346779434298</v>
      </c>
      <c r="IQ387" s="5">
        <v>0.53857536796028604</v>
      </c>
      <c r="IR387" s="5">
        <v>0.297067569717059</v>
      </c>
      <c r="IS387" s="5">
        <v>-0.25674179721698898</v>
      </c>
      <c r="IT387" s="5">
        <v>-0.185379124103182</v>
      </c>
      <c r="IU387" s="5">
        <v>0.34006689480347402</v>
      </c>
      <c r="IV387" s="5">
        <v>-0.46200580065665697</v>
      </c>
      <c r="IW387" s="5">
        <v>0.601837619745482</v>
      </c>
      <c r="IX387" s="5">
        <v>-0.156331973618867</v>
      </c>
      <c r="IY387" s="5">
        <v>0.33347669636513599</v>
      </c>
      <c r="IZ387" s="5">
        <v>-0.22743671586727601</v>
      </c>
      <c r="JA387" s="5">
        <v>0.29655821254268799</v>
      </c>
      <c r="JB387" s="5">
        <v>-0.34911071303422803</v>
      </c>
      <c r="JC387" s="5">
        <v>0.36753275407354702</v>
      </c>
      <c r="JD387" s="5">
        <v>-4.1640669571689902E-2</v>
      </c>
      <c r="JE387" s="5">
        <v>0.18081727725170901</v>
      </c>
      <c r="JF387" s="5">
        <v>-0.21797153042593501</v>
      </c>
      <c r="JG387" s="5">
        <v>0.341257194145622</v>
      </c>
      <c r="JH387" s="5">
        <v>-0.156099464841017</v>
      </c>
      <c r="JI387" s="5">
        <v>0.223063376497451</v>
      </c>
      <c r="JJ387" s="5">
        <v>-0.25351873866791602</v>
      </c>
      <c r="JK387" s="5">
        <v>0.47656016925128297</v>
      </c>
      <c r="JL387" s="5">
        <v>-0.133430476996486</v>
      </c>
      <c r="JM387" s="5">
        <v>0.35007605051475299</v>
      </c>
      <c r="JN387" s="5">
        <v>-0.42968585410438198</v>
      </c>
      <c r="JO387" s="5">
        <v>0.54650009695196899</v>
      </c>
      <c r="JP387" s="5">
        <v>-0.124821077065325</v>
      </c>
      <c r="JQ387" s="5">
        <v>0.31446514473978299</v>
      </c>
      <c r="JR387" s="5">
        <v>0.159249432424173</v>
      </c>
      <c r="JS387" s="5">
        <v>-3.2255617983277203E-2</v>
      </c>
      <c r="JT387" s="5">
        <v>0.207067050717788</v>
      </c>
      <c r="JU387" s="5">
        <v>-0.15598465098384601</v>
      </c>
      <c r="JV387" s="5">
        <v>3.9735555896083401E-2</v>
      </c>
      <c r="JW387" s="5">
        <v>0.11686586252386599</v>
      </c>
      <c r="JX387" s="5">
        <v>-0.35161939027397499</v>
      </c>
      <c r="JY387" s="5">
        <v>0.40674681818852798</v>
      </c>
      <c r="JZ387" s="5">
        <v>-0.32120409042192299</v>
      </c>
      <c r="KA387" s="5">
        <v>0.41385111607379998</v>
      </c>
      <c r="KB387" s="5">
        <v>-0.42835333527925001</v>
      </c>
      <c r="KC387" s="5">
        <v>0.47067723671581102</v>
      </c>
      <c r="KD387" s="5">
        <v>1.8103859232911201E-2</v>
      </c>
      <c r="KE387" s="5">
        <v>0.15259723745491999</v>
      </c>
      <c r="KF387" s="5">
        <v>-8.8832347060460795E-2</v>
      </c>
      <c r="KG387" s="5">
        <v>0.123550034092224</v>
      </c>
      <c r="KH387" s="5">
        <v>1.92409655069922E-2</v>
      </c>
      <c r="KI387" s="5">
        <v>0.165222720101076</v>
      </c>
      <c r="KJ387" s="5">
        <v>-0.122345137477385</v>
      </c>
      <c r="KK387" s="5">
        <v>0.371461812978434</v>
      </c>
      <c r="KL387" s="5">
        <v>0.16588229975843699</v>
      </c>
      <c r="KM387" s="5">
        <v>-0.115484065246826</v>
      </c>
      <c r="KN387" s="5">
        <v>-0.26024951689918902</v>
      </c>
      <c r="KO387" s="5">
        <v>0.33842101849709599</v>
      </c>
      <c r="KP387" s="5">
        <v>-0.17529835712302</v>
      </c>
      <c r="KQ387" s="5">
        <v>0.120785255480495</v>
      </c>
      <c r="KR387" s="5">
        <v>-0.400504112799139</v>
      </c>
      <c r="KS387" s="5">
        <v>0.58052815437640204</v>
      </c>
      <c r="KT387" s="5">
        <v>-0.20042915323208499</v>
      </c>
      <c r="KU387" s="5">
        <v>0.42913925381700302</v>
      </c>
      <c r="KV387" s="5">
        <v>-0.26572265913059401</v>
      </c>
      <c r="KW387" s="5">
        <v>0.417274345639495</v>
      </c>
      <c r="KX387" s="5">
        <v>-0.33978759960991101</v>
      </c>
      <c r="KY387" s="5">
        <v>0.46447759676943101</v>
      </c>
      <c r="KZ387" s="5">
        <v>-9.6771481796362496E-2</v>
      </c>
      <c r="LA387" s="5">
        <v>0.21707847362485999</v>
      </c>
      <c r="LB387" s="5">
        <v>-0.214567236076495</v>
      </c>
      <c r="LC387" s="5">
        <v>0.39090009810294901</v>
      </c>
      <c r="LD387" s="5">
        <v>-6.3717771836753201E-2</v>
      </c>
      <c r="LE387" s="5">
        <v>0.231312600603338</v>
      </c>
      <c r="LF387" s="5">
        <v>-0.13820383070756301</v>
      </c>
      <c r="LG387" s="5">
        <v>0.24468161939890901</v>
      </c>
      <c r="LH387" s="5">
        <v>-0.14126177837999701</v>
      </c>
      <c r="LI387" s="5">
        <v>0.34254966081883598</v>
      </c>
      <c r="LJ387" s="5">
        <v>-0.18451080974511899</v>
      </c>
      <c r="LK387" s="5">
        <v>0.28742001609467399</v>
      </c>
      <c r="LL387" s="5">
        <v>-0.32724577123599102</v>
      </c>
      <c r="LM387" s="5">
        <v>0.50468359952957498</v>
      </c>
      <c r="LN387" s="5">
        <v>-0.33049823416951402</v>
      </c>
      <c r="LO387" s="5">
        <v>0.48774941220739598</v>
      </c>
      <c r="LP387" s="5">
        <v>4.0743891874662201E-2</v>
      </c>
      <c r="LQ387" s="5">
        <v>0.23087323307861701</v>
      </c>
      <c r="LR387" s="5">
        <v>-0.34539387425941698</v>
      </c>
      <c r="LS387" s="5">
        <v>0.39172137581934302</v>
      </c>
      <c r="LT387" s="5">
        <v>-0.27733872634705697</v>
      </c>
      <c r="LU387" s="5">
        <v>0.35228893865343303</v>
      </c>
      <c r="LV387" s="5">
        <v>-0.350694209924305</v>
      </c>
      <c r="LW387" s="5">
        <v>0.35001248815487401</v>
      </c>
      <c r="LX387" s="5">
        <v>-6.0608524364451797E-3</v>
      </c>
      <c r="LY387" s="5">
        <v>0.13415994862460201</v>
      </c>
      <c r="LZ387" s="5">
        <v>-0.187071404611972</v>
      </c>
      <c r="MA387" s="5">
        <v>0.36767299084501398</v>
      </c>
      <c r="MB387" s="5">
        <v>-0.49784982228814201</v>
      </c>
      <c r="MC387" s="5">
        <v>0.62940990363053995</v>
      </c>
      <c r="MD387" s="5">
        <v>-0.12793415415007101</v>
      </c>
      <c r="ME387" s="5">
        <v>0.31996198664757802</v>
      </c>
      <c r="MF387" s="5">
        <v>0.27859547143826102</v>
      </c>
      <c r="MG387" s="5">
        <v>-0.479586727728956</v>
      </c>
      <c r="MH387" s="5">
        <v>-0.109363762287916</v>
      </c>
      <c r="MI387" s="5">
        <v>0.25399790198996303</v>
      </c>
      <c r="MJ387" s="5">
        <v>0.375813997119893</v>
      </c>
      <c r="MK387" s="5">
        <v>-0.39964395340536402</v>
      </c>
      <c r="ML387" s="5">
        <v>-5.9369354435630302E-2</v>
      </c>
      <c r="MM387" s="5">
        <v>0.11805926702080601</v>
      </c>
      <c r="MN387" s="5">
        <v>-0.35896994687330402</v>
      </c>
      <c r="MO387" s="5">
        <v>0.448532372524376</v>
      </c>
      <c r="MP387" s="5">
        <v>1.0467327877049E-2</v>
      </c>
      <c r="MQ387" s="5">
        <v>0.153038413786277</v>
      </c>
      <c r="MR387" s="5">
        <v>-8.4772588694779494E-2</v>
      </c>
      <c r="MS387" s="5">
        <v>0.16205356459161299</v>
      </c>
      <c r="MT387" s="5">
        <v>-0.27004587249321998</v>
      </c>
      <c r="MU387" s="5">
        <v>0.30413210487229497</v>
      </c>
      <c r="MV387" s="5">
        <v>0.11889568707026101</v>
      </c>
      <c r="MW387" s="5">
        <v>5.6130893297849697E-2</v>
      </c>
      <c r="MX387" s="5">
        <v>-0.15229262466160701</v>
      </c>
      <c r="MY387" s="5">
        <v>0.37603354893959001</v>
      </c>
      <c r="MZ387" s="5">
        <v>-0.27625963755682098</v>
      </c>
      <c r="NA387" s="5">
        <v>0.46695851209558598</v>
      </c>
      <c r="NB387" s="5">
        <v>-0.33974388021035901</v>
      </c>
      <c r="NC387" s="5">
        <v>0.40653040522400202</v>
      </c>
      <c r="ND387" s="5">
        <v>-8.9547252274532405E-2</v>
      </c>
      <c r="NE387" s="5">
        <v>9.3390424067527497E-2</v>
      </c>
      <c r="NF387" s="5">
        <v>-5.4137277305067899E-2</v>
      </c>
      <c r="NG387" s="5">
        <v>-2.23101864531857E-2</v>
      </c>
      <c r="NH387" s="5">
        <v>4.1265464202056998E-2</v>
      </c>
      <c r="NI387" s="5">
        <v>-1.9777809274274399E-2</v>
      </c>
      <c r="NJ387" s="5">
        <v>-0.383650244335624</v>
      </c>
      <c r="NK387" s="5">
        <v>0.57173049239913898</v>
      </c>
      <c r="NL387" s="5">
        <v>-6.3351620273416703E-2</v>
      </c>
      <c r="NM387" s="5">
        <v>0.357238987440191</v>
      </c>
      <c r="NN387" s="5">
        <v>0.124542731285515</v>
      </c>
      <c r="NO387" s="5">
        <v>-1.24763261050602E-2</v>
      </c>
      <c r="NP387" s="5">
        <v>-0.27407711789150901</v>
      </c>
      <c r="NQ387" s="5">
        <v>0.350088666554418</v>
      </c>
      <c r="NR387" s="5">
        <v>-0.22929359035900301</v>
      </c>
      <c r="NS387" s="5">
        <v>0.41269359386688398</v>
      </c>
      <c r="NT387" s="5">
        <v>-0.31154338338006698</v>
      </c>
      <c r="NU387" s="5">
        <v>0.47652334488243703</v>
      </c>
      <c r="NV387" s="5">
        <v>-0.77988262414092302</v>
      </c>
      <c r="NW387" s="5">
        <v>1</v>
      </c>
      <c r="NX387" s="5"/>
      <c r="NY387" s="5"/>
    </row>
    <row r="388" spans="1:389" x14ac:dyDescent="0.45">
      <c r="A388" s="4" t="str">
        <f ca="1">"ZWE / beta1dist in "&amp;CELL("address",'damages-1990'!$J$195)</f>
        <v>ZWE / beta1dist in '[BHM betas v3pd.xlsx]damages-1990'!$J$195</v>
      </c>
      <c r="B388" s="6">
        <v>0.25467206276216198</v>
      </c>
      <c r="C388" s="5">
        <v>-1.84033357183628E-2</v>
      </c>
      <c r="D388" s="5">
        <v>0.66718867941809301</v>
      </c>
      <c r="E388" s="5">
        <v>-0.44769843367304102</v>
      </c>
      <c r="F388" s="5">
        <v>0.12167811275896701</v>
      </c>
      <c r="G388" s="5">
        <v>7.2431113053829599E-2</v>
      </c>
      <c r="H388" s="5">
        <v>-4.3597337507761097E-2</v>
      </c>
      <c r="I388" s="5">
        <v>1.54371490994496E-2</v>
      </c>
      <c r="J388" s="5">
        <v>0.418023196831037</v>
      </c>
      <c r="K388" s="5">
        <v>-0.20277129096157101</v>
      </c>
      <c r="L388" s="5">
        <v>0.29163681302154998</v>
      </c>
      <c r="M388" s="5">
        <v>5.8288277408825801E-3</v>
      </c>
      <c r="N388" s="5">
        <v>8.6788166250263907E-3</v>
      </c>
      <c r="O388" s="5">
        <v>9.7896755972279193E-3</v>
      </c>
      <c r="P388" s="5">
        <v>0.47605854735576802</v>
      </c>
      <c r="Q388" s="5">
        <v>-0.38274280461563198</v>
      </c>
      <c r="R388" s="5">
        <v>0.343904117162942</v>
      </c>
      <c r="S388" s="5">
        <v>-0.15320963197158499</v>
      </c>
      <c r="T388" s="5">
        <v>0.26560022286809698</v>
      </c>
      <c r="U388" s="5">
        <v>-0.30757970255025702</v>
      </c>
      <c r="V388" s="5">
        <v>0.18890512571010101</v>
      </c>
      <c r="W388" s="5">
        <v>7.9614574828665699E-2</v>
      </c>
      <c r="X388" s="5">
        <v>0.59220127099405295</v>
      </c>
      <c r="Y388" s="5">
        <v>-0.37311457056511999</v>
      </c>
      <c r="Z388" s="5">
        <v>0.17338493796854401</v>
      </c>
      <c r="AA388" s="5">
        <v>-0.13242260279403101</v>
      </c>
      <c r="AB388" s="5">
        <v>0.70073442241473705</v>
      </c>
      <c r="AC388" s="5">
        <v>-0.51361501851744196</v>
      </c>
      <c r="AD388" s="5">
        <v>0.60032844056261003</v>
      </c>
      <c r="AE388" s="5">
        <v>-0.38710536192494699</v>
      </c>
      <c r="AF388" s="5">
        <v>0.18192734745106601</v>
      </c>
      <c r="AG388" s="5">
        <v>-6.7424664005952999E-3</v>
      </c>
      <c r="AH388" s="5">
        <v>0.18419221500276201</v>
      </c>
      <c r="AI388" s="5">
        <v>-5.2606429733927998E-2</v>
      </c>
      <c r="AJ388" s="5">
        <v>0.32333012046538201</v>
      </c>
      <c r="AK388" s="5">
        <v>-0.146145477871995</v>
      </c>
      <c r="AL388" s="5">
        <v>5.7646452753142001E-2</v>
      </c>
      <c r="AM388" s="5">
        <v>9.9306850868846899E-2</v>
      </c>
      <c r="AN388" s="5">
        <v>0.20868147086950201</v>
      </c>
      <c r="AO388" s="5">
        <v>-0.16938964834460901</v>
      </c>
      <c r="AP388" s="5">
        <v>0.185739886921719</v>
      </c>
      <c r="AQ388" s="5">
        <v>-0.20471031990755501</v>
      </c>
      <c r="AR388" s="5">
        <v>0.34191736967278202</v>
      </c>
      <c r="AS388" s="5">
        <v>-0.17726727817136501</v>
      </c>
      <c r="AT388" s="5">
        <v>-9.7706442202548399E-2</v>
      </c>
      <c r="AU388" s="5">
        <v>0.26471993581316</v>
      </c>
      <c r="AV388" s="5">
        <v>0.43412443818423602</v>
      </c>
      <c r="AW388" s="5">
        <v>-0.27892413528077797</v>
      </c>
      <c r="AX388" s="5">
        <v>0.480198104016682</v>
      </c>
      <c r="AY388" s="5">
        <v>-0.330168054502255</v>
      </c>
      <c r="AZ388" s="5">
        <v>0.52558300295141902</v>
      </c>
      <c r="BA388" s="5">
        <v>-0.41759812969368798</v>
      </c>
      <c r="BB388" s="5">
        <v>0.45806810079051802</v>
      </c>
      <c r="BC388" s="5">
        <v>-0.27171413096550101</v>
      </c>
      <c r="BD388" s="5">
        <v>0.15581343577446499</v>
      </c>
      <c r="BE388" s="5">
        <v>5.8886233657353002E-2</v>
      </c>
      <c r="BF388" s="5">
        <v>0.76383151630482204</v>
      </c>
      <c r="BG388" s="5">
        <v>-0.62931163004624302</v>
      </c>
      <c r="BH388" s="5">
        <v>0.628896744997401</v>
      </c>
      <c r="BI388" s="5">
        <v>-0.41420538674685697</v>
      </c>
      <c r="BJ388" s="5">
        <v>2.3355617669645501E-2</v>
      </c>
      <c r="BK388" s="5">
        <v>-7.9495589975141098E-2</v>
      </c>
      <c r="BL388" s="5">
        <v>0.19146372257614999</v>
      </c>
      <c r="BM388" s="5">
        <v>-0.25055866645781999</v>
      </c>
      <c r="BN388" s="5">
        <v>-2.5536228428449399E-2</v>
      </c>
      <c r="BO388" s="5">
        <v>0.110274405897792</v>
      </c>
      <c r="BP388" s="5">
        <v>1.6992346257203101E-2</v>
      </c>
      <c r="BQ388" s="5">
        <v>7.9192909637692099E-2</v>
      </c>
      <c r="BR388" s="5">
        <v>0.55850620072706803</v>
      </c>
      <c r="BS388" s="5">
        <v>-0.368542481375771</v>
      </c>
      <c r="BT388" s="5">
        <v>0.58168447006423396</v>
      </c>
      <c r="BU388" s="5">
        <v>-0.401526908975332</v>
      </c>
      <c r="BV388" s="5">
        <v>0.58552919991538899</v>
      </c>
      <c r="BW388" s="5">
        <v>-0.35916477428729798</v>
      </c>
      <c r="BX388" s="5">
        <v>0.56530650828289697</v>
      </c>
      <c r="BY388" s="5">
        <v>-0.37234860825437599</v>
      </c>
      <c r="BZ388" s="5">
        <v>0.48948597857356402</v>
      </c>
      <c r="CA388" s="5">
        <v>-0.30881728365667199</v>
      </c>
      <c r="CB388" s="5">
        <v>0.23598216271011799</v>
      </c>
      <c r="CC388" s="5">
        <v>-0.12140998056507001</v>
      </c>
      <c r="CD388" s="5">
        <v>0.23749991775413001</v>
      </c>
      <c r="CE388" s="5">
        <v>-0.104247065817101</v>
      </c>
      <c r="CF388" s="5">
        <v>0.51355934972791295</v>
      </c>
      <c r="CG388" s="5">
        <v>-0.35321211811585201</v>
      </c>
      <c r="CH388" s="5">
        <v>5.3590057943922201E-2</v>
      </c>
      <c r="CI388" s="5">
        <v>4.1773846539796003E-2</v>
      </c>
      <c r="CJ388" s="5">
        <v>-2.6479788571857999E-2</v>
      </c>
      <c r="CK388" s="5">
        <v>0.169436256910002</v>
      </c>
      <c r="CL388" s="5">
        <v>0.27034608268877902</v>
      </c>
      <c r="CM388" s="5">
        <v>-0.28109019831180698</v>
      </c>
      <c r="CN388" s="5">
        <v>0.21182625670184499</v>
      </c>
      <c r="CO388" s="5">
        <v>-0.20371135678928701</v>
      </c>
      <c r="CP388" s="5">
        <v>0.35185526446420501</v>
      </c>
      <c r="CQ388" s="5">
        <v>-0.136635080430413</v>
      </c>
      <c r="CR388" s="5">
        <v>0.467743306510156</v>
      </c>
      <c r="CS388" s="5">
        <v>-0.34951712044838801</v>
      </c>
      <c r="CT388" s="5">
        <v>0.22386336309833499</v>
      </c>
      <c r="CU388" s="5">
        <v>-0.232694327044113</v>
      </c>
      <c r="CV388" s="5">
        <v>0.463523987308056</v>
      </c>
      <c r="CW388" s="5">
        <v>-0.32683064386384297</v>
      </c>
      <c r="CX388" s="5">
        <v>0.473034025463899</v>
      </c>
      <c r="CY388" s="5">
        <v>-0.279371097373246</v>
      </c>
      <c r="CZ388" s="5">
        <v>0.53586576240745398</v>
      </c>
      <c r="DA388" s="5">
        <v>-0.408801001806891</v>
      </c>
      <c r="DB388" s="5">
        <v>0.32132541593746</v>
      </c>
      <c r="DC388" s="5">
        <v>-9.0836506048654994E-2</v>
      </c>
      <c r="DD388" s="5">
        <v>0.42399686138224502</v>
      </c>
      <c r="DE388" s="5">
        <v>-0.184370990496913</v>
      </c>
      <c r="DF388" s="5">
        <v>0.255480888224912</v>
      </c>
      <c r="DG388" s="5">
        <v>-5.4905857024386398E-2</v>
      </c>
      <c r="DH388" s="5">
        <v>0.20210282647587099</v>
      </c>
      <c r="DI388" s="5">
        <v>-1.2149965520164301E-3</v>
      </c>
      <c r="DJ388" s="5">
        <v>0.15272463828542901</v>
      </c>
      <c r="DK388" s="5">
        <v>-0.18262123696774599</v>
      </c>
      <c r="DL388" s="5">
        <v>0.42492779133518099</v>
      </c>
      <c r="DM388" s="5">
        <v>-0.19328723890525101</v>
      </c>
      <c r="DN388" s="5">
        <v>4.1002679237683401E-2</v>
      </c>
      <c r="DO388" s="5">
        <v>-9.6946177375034706E-2</v>
      </c>
      <c r="DP388" s="5">
        <v>0.18693215415527201</v>
      </c>
      <c r="DQ388" s="5">
        <v>-4.0942488705047603E-2</v>
      </c>
      <c r="DR388" s="5">
        <v>0.16125881466984701</v>
      </c>
      <c r="DS388" s="5">
        <v>-5.9747358676403198E-2</v>
      </c>
      <c r="DT388" s="5">
        <v>0.11219061293713201</v>
      </c>
      <c r="DU388" s="5">
        <v>2.2645539626799601E-2</v>
      </c>
      <c r="DV388" s="5">
        <v>0.51227246474099297</v>
      </c>
      <c r="DW388" s="5">
        <v>-0.371193239436517</v>
      </c>
      <c r="DX388" s="5">
        <v>8.6995550225359902E-2</v>
      </c>
      <c r="DY388" s="5">
        <v>-6.4050853795583798E-2</v>
      </c>
      <c r="DZ388" s="5">
        <v>0.102879923811438</v>
      </c>
      <c r="EA388" s="5">
        <v>-0.111499263681587</v>
      </c>
      <c r="EB388" s="5">
        <v>0.62312186268242098</v>
      </c>
      <c r="EC388" s="5">
        <v>-0.40483224604318602</v>
      </c>
      <c r="ED388" s="5">
        <v>0.56266665701920004</v>
      </c>
      <c r="EE388" s="5">
        <v>-0.33732618922493002</v>
      </c>
      <c r="EF388" s="5">
        <v>0.47412808620052299</v>
      </c>
      <c r="EG388" s="5">
        <v>-0.36692328105787497</v>
      </c>
      <c r="EH388" s="5">
        <v>0.541267214630475</v>
      </c>
      <c r="EI388" s="5">
        <v>-0.32592710619862197</v>
      </c>
      <c r="EJ388" s="5">
        <v>0.61174871921166696</v>
      </c>
      <c r="EK388" s="5">
        <v>-0.398097068464009</v>
      </c>
      <c r="EL388" s="5">
        <v>0.51105342491873096</v>
      </c>
      <c r="EM388" s="5">
        <v>-0.33340976682101803</v>
      </c>
      <c r="EN388" s="5">
        <v>2.29207035663022E-2</v>
      </c>
      <c r="EO388" s="5">
        <v>0.208033858950362</v>
      </c>
      <c r="EP388" s="5">
        <v>0.52451955283620699</v>
      </c>
      <c r="EQ388" s="5">
        <v>-0.412746359531938</v>
      </c>
      <c r="ER388" s="5">
        <v>0.35369443904457398</v>
      </c>
      <c r="ES388" s="5">
        <v>-0.15974485403781499</v>
      </c>
      <c r="ET388" s="5">
        <v>0.50699638426747196</v>
      </c>
      <c r="EU388" s="5">
        <v>-0.41812442849422599</v>
      </c>
      <c r="EV388" s="5">
        <v>0.37009649358872299</v>
      </c>
      <c r="EW388" s="5">
        <v>-0.263673824778977</v>
      </c>
      <c r="EX388" s="5">
        <v>0.207756169343875</v>
      </c>
      <c r="EY388" s="5">
        <v>-0.11406767272450501</v>
      </c>
      <c r="EZ388" s="5">
        <v>0.37040661329428298</v>
      </c>
      <c r="FA388" s="5">
        <v>-0.17999156837140801</v>
      </c>
      <c r="FB388" s="5">
        <v>0.191876242747234</v>
      </c>
      <c r="FC388" s="5">
        <v>-6.6201180907297097E-2</v>
      </c>
      <c r="FD388" s="5">
        <v>0.32554407287992598</v>
      </c>
      <c r="FE388" s="5">
        <v>-0.19193287843946899</v>
      </c>
      <c r="FF388" s="5">
        <v>0.22190746789985899</v>
      </c>
      <c r="FG388" s="5">
        <v>-0.13467710073553599</v>
      </c>
      <c r="FH388" s="5">
        <v>0.32527651940385499</v>
      </c>
      <c r="FI388" s="5">
        <v>-9.3033597099006299E-2</v>
      </c>
      <c r="FJ388" s="5">
        <v>0.37624850734718601</v>
      </c>
      <c r="FK388" s="5">
        <v>-0.14595009456184599</v>
      </c>
      <c r="FL388" s="5">
        <v>-1.9631917993370201E-2</v>
      </c>
      <c r="FM388" s="5">
        <v>8.6292907450093895E-2</v>
      </c>
      <c r="FN388" s="5">
        <v>0.44337316425789702</v>
      </c>
      <c r="FO388" s="5">
        <v>-0.20097192007923001</v>
      </c>
      <c r="FP388" s="5">
        <v>0.384238313329684</v>
      </c>
      <c r="FQ388" s="5">
        <v>-0.15959003457961199</v>
      </c>
      <c r="FR388" s="5">
        <v>-9.4114138880995304E-2</v>
      </c>
      <c r="FS388" s="5">
        <v>0.14887181931722901</v>
      </c>
      <c r="FT388" s="5">
        <v>0.247803567611182</v>
      </c>
      <c r="FU388" s="5">
        <v>4.7454485905550096E-3</v>
      </c>
      <c r="FV388" s="5">
        <v>0.15620433170046799</v>
      </c>
      <c r="FW388" s="5">
        <v>4.9782371379643503E-2</v>
      </c>
      <c r="FX388" s="5">
        <v>0.33268537825967698</v>
      </c>
      <c r="FY388" s="5">
        <v>-0.22614847803777399</v>
      </c>
      <c r="FZ388" s="5">
        <v>0.34700187802677901</v>
      </c>
      <c r="GA388" s="5">
        <v>-7.9479452253305605E-2</v>
      </c>
      <c r="GB388" s="5">
        <v>0.167580221278886</v>
      </c>
      <c r="GC388" s="5">
        <v>-8.5862307906281101E-3</v>
      </c>
      <c r="GD388" s="5">
        <v>4.6572844723591703E-2</v>
      </c>
      <c r="GE388" s="5">
        <v>-4.1379190985794699E-2</v>
      </c>
      <c r="GF388" s="5">
        <v>0.205832145201472</v>
      </c>
      <c r="GG388" s="5">
        <v>-3.2089260614953603E-2</v>
      </c>
      <c r="GH388" s="5">
        <v>-0.22631555867292799</v>
      </c>
      <c r="GI388" s="5">
        <v>0.24700166703659199</v>
      </c>
      <c r="GJ388" s="5">
        <v>0.48127915932385801</v>
      </c>
      <c r="GK388" s="5">
        <v>-0.39003935601510697</v>
      </c>
      <c r="GL388" s="5">
        <v>0.51428440727093105</v>
      </c>
      <c r="GM388" s="5">
        <v>-0.39983787461674503</v>
      </c>
      <c r="GN388" s="5">
        <v>0.17762971585735199</v>
      </c>
      <c r="GO388" s="5">
        <v>-1.28831675950576E-2</v>
      </c>
      <c r="GP388" s="5">
        <v>0.44967610428162902</v>
      </c>
      <c r="GQ388" s="5">
        <v>-0.26109769566282898</v>
      </c>
      <c r="GR388" s="5">
        <v>0.41389738237495899</v>
      </c>
      <c r="GS388" s="5">
        <v>-0.31655562489653499</v>
      </c>
      <c r="GT388" s="5">
        <v>0.17757547831928999</v>
      </c>
      <c r="GU388" s="5">
        <v>0.100754681151371</v>
      </c>
      <c r="GV388" s="5">
        <v>0.50095556137292796</v>
      </c>
      <c r="GW388" s="5">
        <v>-0.38834716442942802</v>
      </c>
      <c r="GX388" s="5">
        <v>0.36002301989029301</v>
      </c>
      <c r="GY388" s="5">
        <v>-0.191654769152971</v>
      </c>
      <c r="GZ388" s="5">
        <v>0.207982294287748</v>
      </c>
      <c r="HA388" s="5">
        <v>-0.26143885630226699</v>
      </c>
      <c r="HB388" s="5">
        <v>0.32597030748899197</v>
      </c>
      <c r="HC388" s="5">
        <v>-0.186665452213957</v>
      </c>
      <c r="HD388" s="5">
        <v>0.18067513997286999</v>
      </c>
      <c r="HE388" s="5">
        <v>6.6457893339365706E-2</v>
      </c>
      <c r="HF388" s="5">
        <v>0.20651422073464701</v>
      </c>
      <c r="HG388" s="5">
        <v>-0.22894987356260399</v>
      </c>
      <c r="HH388" s="5">
        <v>0.16397731171830701</v>
      </c>
      <c r="HI388" s="5">
        <v>-0.13923489623112201</v>
      </c>
      <c r="HJ388" s="5">
        <v>0.19725626893444601</v>
      </c>
      <c r="HK388" s="5">
        <v>-0.22595489038539099</v>
      </c>
      <c r="HL388" s="5">
        <v>0.312002878755123</v>
      </c>
      <c r="HM388" s="5">
        <v>-0.10096760121274399</v>
      </c>
      <c r="HN388" s="5">
        <v>0.22210748542761999</v>
      </c>
      <c r="HO388" s="5">
        <v>-0.16001592488119101</v>
      </c>
      <c r="HP388" s="5">
        <v>0.44513356224045703</v>
      </c>
      <c r="HQ388" s="5">
        <v>-0.28970892740337101</v>
      </c>
      <c r="HR388" s="5">
        <v>0.395938667507447</v>
      </c>
      <c r="HS388" s="5">
        <v>-0.228675490271287</v>
      </c>
      <c r="HT388" s="5">
        <v>0.15432387298531799</v>
      </c>
      <c r="HU388" s="5">
        <v>-3.5981816977413997E-2</v>
      </c>
      <c r="HV388" s="5">
        <v>0.48539215211305697</v>
      </c>
      <c r="HW388" s="5">
        <v>-0.277136175887576</v>
      </c>
      <c r="HX388" s="5">
        <v>0.34258944774932298</v>
      </c>
      <c r="HY388" s="5">
        <v>-0.15116398696830499</v>
      </c>
      <c r="HZ388" s="5">
        <v>0.19305650840320401</v>
      </c>
      <c r="IA388" s="5">
        <v>-0.18734172248968001</v>
      </c>
      <c r="IB388" s="5">
        <v>-6.3523048575010996E-2</v>
      </c>
      <c r="IC388" s="5">
        <v>3.6172127603433898E-2</v>
      </c>
      <c r="ID388" s="5">
        <v>0.75493440882066598</v>
      </c>
      <c r="IE388" s="5">
        <v>-0.65052194086856296</v>
      </c>
      <c r="IF388" s="5">
        <v>0.43476812167279699</v>
      </c>
      <c r="IG388" s="5">
        <v>-0.211950707531842</v>
      </c>
      <c r="IH388" s="5">
        <v>0.50796950168718602</v>
      </c>
      <c r="II388" s="5">
        <v>-0.395030931460228</v>
      </c>
      <c r="IJ388" s="5">
        <v>0.13355572580915301</v>
      </c>
      <c r="IK388" s="5">
        <v>-3.8518130079131602E-2</v>
      </c>
      <c r="IL388" s="5">
        <v>0.55032080727827204</v>
      </c>
      <c r="IM388" s="5">
        <v>-0.36126325104943602</v>
      </c>
      <c r="IN388" s="5">
        <v>0.45404506204324102</v>
      </c>
      <c r="IO388" s="5">
        <v>-0.27923590744506999</v>
      </c>
      <c r="IP388" s="5">
        <v>0.67862751708381996</v>
      </c>
      <c r="IQ388" s="5">
        <v>-0.50119733801544997</v>
      </c>
      <c r="IR388" s="5">
        <v>-6.01110378882996E-2</v>
      </c>
      <c r="IS388" s="5">
        <v>0.257109859413929</v>
      </c>
      <c r="IT388" s="5">
        <v>0.50737337404542004</v>
      </c>
      <c r="IU388" s="5">
        <v>-0.31994463805193502</v>
      </c>
      <c r="IV388" s="5">
        <v>0.61906857021554895</v>
      </c>
      <c r="IW388" s="5">
        <v>-0.43623894974716199</v>
      </c>
      <c r="IX388" s="5">
        <v>0.40925994645848102</v>
      </c>
      <c r="IY388" s="5">
        <v>-0.23950343201677901</v>
      </c>
      <c r="IZ388" s="5">
        <v>0.215773845272655</v>
      </c>
      <c r="JA388" s="5">
        <v>-0.18877129384857699</v>
      </c>
      <c r="JB388" s="5">
        <v>9.9420394183201602E-2</v>
      </c>
      <c r="JC388" s="5">
        <v>-0.19362467421229701</v>
      </c>
      <c r="JD388" s="5">
        <v>0.24073257159686301</v>
      </c>
      <c r="JE388" s="5">
        <v>-9.7404988813935903E-3</v>
      </c>
      <c r="JF388" s="5">
        <v>0.37721806223270898</v>
      </c>
      <c r="JG388" s="5">
        <v>-0.32682242784788201</v>
      </c>
      <c r="JH388" s="5">
        <v>0.125012007276499</v>
      </c>
      <c r="JI388" s="5">
        <v>-4.03816409798625E-2</v>
      </c>
      <c r="JJ388" s="5">
        <v>0.47213570106262798</v>
      </c>
      <c r="JK388" s="5">
        <v>-0.23161139497907199</v>
      </c>
      <c r="JL388" s="5">
        <v>0.39516213095632902</v>
      </c>
      <c r="JM388" s="5">
        <v>-0.176524083839975</v>
      </c>
      <c r="JN388" s="5">
        <v>0.572378738135911</v>
      </c>
      <c r="JO388" s="5">
        <v>-0.42837334726013199</v>
      </c>
      <c r="JP388" s="5">
        <v>0.44197289399302497</v>
      </c>
      <c r="JQ388" s="5">
        <v>-0.25000648712840101</v>
      </c>
      <c r="JR388" s="5">
        <v>0.281647593712883</v>
      </c>
      <c r="JS388" s="5">
        <v>-8.8545211025222295E-2</v>
      </c>
      <c r="JT388" s="5">
        <v>5.1541094694469498E-2</v>
      </c>
      <c r="JU388" s="5">
        <v>0.104689378167079</v>
      </c>
      <c r="JV388" s="5">
        <v>0.29216225977313198</v>
      </c>
      <c r="JW388" s="5">
        <v>-2.61501340205301E-2</v>
      </c>
      <c r="JX388" s="5">
        <v>0.26483662082576598</v>
      </c>
      <c r="JY388" s="5">
        <v>-0.26717326679648401</v>
      </c>
      <c r="JZ388" s="5">
        <v>0.44332138581300501</v>
      </c>
      <c r="KA388" s="5">
        <v>-0.32252205463626399</v>
      </c>
      <c r="KB388" s="5">
        <v>0.141563596158083</v>
      </c>
      <c r="KC388" s="5">
        <v>-0.15716137662676599</v>
      </c>
      <c r="KD388" s="5">
        <v>0.16688050435998</v>
      </c>
      <c r="KE388" s="5">
        <v>2.98952316480793E-2</v>
      </c>
      <c r="KF388" s="5">
        <v>0.38952470877957002</v>
      </c>
      <c r="KG388" s="5">
        <v>-0.18637371696219099</v>
      </c>
      <c r="KH388" s="5">
        <v>0.228610435655514</v>
      </c>
      <c r="KI388" s="5">
        <v>2.32287121780856E-2</v>
      </c>
      <c r="KJ388" s="5">
        <v>0.33319669775792299</v>
      </c>
      <c r="KK388" s="5">
        <v>-0.14575452857260601</v>
      </c>
      <c r="KL388" s="5">
        <v>0.19037751286162299</v>
      </c>
      <c r="KM388" s="5">
        <v>-5.1098578493359997E-2</v>
      </c>
      <c r="KN388" s="5">
        <v>0.236444142116014</v>
      </c>
      <c r="KO388" s="5">
        <v>-0.203208879858293</v>
      </c>
      <c r="KP388" s="5">
        <v>-8.5915886363079799E-2</v>
      </c>
      <c r="KQ388" s="5">
        <v>4.5704792498719199E-2</v>
      </c>
      <c r="KR388" s="5">
        <v>0.52393298931072296</v>
      </c>
      <c r="KS388" s="5">
        <v>-0.31842620140973399</v>
      </c>
      <c r="KT388" s="5">
        <v>0.44027252959375301</v>
      </c>
      <c r="KU388" s="5">
        <v>-0.211580016260524</v>
      </c>
      <c r="KV388" s="5">
        <v>0.53363281061935797</v>
      </c>
      <c r="KW388" s="5">
        <v>-0.310816103082656</v>
      </c>
      <c r="KX388" s="5">
        <v>0.517912693055817</v>
      </c>
      <c r="KY388" s="5">
        <v>-0.28739960819188798</v>
      </c>
      <c r="KZ388" s="5">
        <v>0.17582471576025899</v>
      </c>
      <c r="LA388" s="5">
        <v>-6.1452059226166297E-2</v>
      </c>
      <c r="LB388" s="5">
        <v>0.50082179627234502</v>
      </c>
      <c r="LC388" s="5">
        <v>-0.31450933106593798</v>
      </c>
      <c r="LD388" s="5">
        <v>0.36529870474377402</v>
      </c>
      <c r="LE388" s="5">
        <v>-0.20610973149681799</v>
      </c>
      <c r="LF388" s="5">
        <v>0.18653092083331199</v>
      </c>
      <c r="LG388" s="5">
        <v>-6.8711117701260802E-2</v>
      </c>
      <c r="LH388" s="5">
        <v>0.45439164124504</v>
      </c>
      <c r="LI388" s="5">
        <v>-0.25515834923063302</v>
      </c>
      <c r="LJ388" s="5">
        <v>0.16994444187334001</v>
      </c>
      <c r="LK388" s="5">
        <v>-4.1959237992437698E-2</v>
      </c>
      <c r="LL388" s="5">
        <v>0.513083721447536</v>
      </c>
      <c r="LM388" s="5">
        <v>-0.32202286169461902</v>
      </c>
      <c r="LN388" s="5">
        <v>0.415054155727689</v>
      </c>
      <c r="LO388" s="5">
        <v>-0.25943998715121303</v>
      </c>
      <c r="LP388" s="5">
        <v>0.28848218164407202</v>
      </c>
      <c r="LQ388" s="5">
        <v>-0.24013877536069</v>
      </c>
      <c r="LR388" s="5">
        <v>0.28751956739685203</v>
      </c>
      <c r="LS388" s="5">
        <v>-0.30260482171075798</v>
      </c>
      <c r="LT388" s="5">
        <v>0.249196431662326</v>
      </c>
      <c r="LU388" s="5">
        <v>-0.23757833910829601</v>
      </c>
      <c r="LV388" s="5">
        <v>0.114599068841364</v>
      </c>
      <c r="LW388" s="5">
        <v>-0.16924359496295599</v>
      </c>
      <c r="LX388" s="5">
        <v>0.249707533682097</v>
      </c>
      <c r="LY388" s="5">
        <v>9.8344670684888495E-3</v>
      </c>
      <c r="LZ388" s="5">
        <v>0.51501137581733003</v>
      </c>
      <c r="MA388" s="5">
        <v>-0.34390587645243398</v>
      </c>
      <c r="MB388" s="5">
        <v>0.65548745715770496</v>
      </c>
      <c r="MC388" s="5">
        <v>-0.46122405986395099</v>
      </c>
      <c r="MD388" s="5">
        <v>0.45369042364701201</v>
      </c>
      <c r="ME388" s="5">
        <v>-0.35484775920658201</v>
      </c>
      <c r="MF388" s="5">
        <v>-0.23537738407067399</v>
      </c>
      <c r="MG388" s="5">
        <v>0.31203266425172799</v>
      </c>
      <c r="MH388" s="5">
        <v>0.255576354006953</v>
      </c>
      <c r="MI388" s="5">
        <v>2.1536325936898599E-2</v>
      </c>
      <c r="MJ388" s="5">
        <v>-3.8908120857535797E-2</v>
      </c>
      <c r="MK388" s="5">
        <v>0.19940531195261199</v>
      </c>
      <c r="ML388" s="5">
        <v>0.21953110071019999</v>
      </c>
      <c r="MM388" s="5">
        <v>-8.8958332773000706E-2</v>
      </c>
      <c r="MN388" s="5">
        <v>0.53749935181880704</v>
      </c>
      <c r="MO388" s="5">
        <v>-0.39485183350101299</v>
      </c>
      <c r="MP388" s="5">
        <v>0.33259517668296601</v>
      </c>
      <c r="MQ388" s="5">
        <v>-0.150487617208347</v>
      </c>
      <c r="MR388" s="5">
        <v>0.16671051965695499</v>
      </c>
      <c r="MS388" s="5">
        <v>1.5568752195630199E-2</v>
      </c>
      <c r="MT388" s="5">
        <v>0.32955447213094302</v>
      </c>
      <c r="MU388" s="5">
        <v>-0.25746653303272499</v>
      </c>
      <c r="MV388" s="5">
        <v>0.245526034694697</v>
      </c>
      <c r="MW388" s="5">
        <v>-5.84725001037876E-2</v>
      </c>
      <c r="MX388" s="5">
        <v>0.37352584240790998</v>
      </c>
      <c r="MY388" s="5">
        <v>-0.15496551017284299</v>
      </c>
      <c r="MZ388" s="5">
        <v>0.42931008084897399</v>
      </c>
      <c r="NA388" s="5">
        <v>-0.26032040663206002</v>
      </c>
      <c r="NB388" s="5">
        <v>0.23816123618180801</v>
      </c>
      <c r="NC388" s="5">
        <v>-0.23468858106764701</v>
      </c>
      <c r="ND388" s="5">
        <v>0.25719603010959902</v>
      </c>
      <c r="NE388" s="5">
        <v>4.5845596157970098E-2</v>
      </c>
      <c r="NF388" s="5">
        <v>-1.96978486386538E-2</v>
      </c>
      <c r="NG388" s="5">
        <v>0.15863745823302999</v>
      </c>
      <c r="NH388" s="5">
        <v>0.13779237345159701</v>
      </c>
      <c r="NI388" s="5">
        <v>0.17143742542304299</v>
      </c>
      <c r="NJ388" s="5">
        <v>0.52699872699266703</v>
      </c>
      <c r="NK388" s="5">
        <v>-0.35340419486350699</v>
      </c>
      <c r="NL388" s="5">
        <v>0.43079586483946603</v>
      </c>
      <c r="NM388" s="5">
        <v>-0.34326805670861898</v>
      </c>
      <c r="NN388" s="5">
        <v>8.7352678992836497E-2</v>
      </c>
      <c r="NO388" s="5">
        <v>6.5455011566484797E-2</v>
      </c>
      <c r="NP388" s="5">
        <v>0.30527721132858598</v>
      </c>
      <c r="NQ388" s="5">
        <v>-0.14896898446814</v>
      </c>
      <c r="NR388" s="5">
        <v>0.494092058543878</v>
      </c>
      <c r="NS388" s="5">
        <v>-0.26803478641350498</v>
      </c>
      <c r="NT388" s="5">
        <v>0.59311248679698403</v>
      </c>
      <c r="NU388" s="5">
        <v>-0.41414644563362701</v>
      </c>
      <c r="NV388" s="5">
        <v>0.78785952255303704</v>
      </c>
      <c r="NW388" s="5">
        <v>-0.59149661733571102</v>
      </c>
      <c r="NX388" s="5">
        <v>1</v>
      </c>
      <c r="NY388" s="5"/>
    </row>
    <row r="389" spans="1:389" x14ac:dyDescent="0.45">
      <c r="A389" s="4" t="str">
        <f ca="1">"ZWE / beta2dist in "&amp;CELL("address",'damages-1990'!$K$195)</f>
        <v>ZWE / beta2dist in '[BHM betas v3pd.xlsx]damages-1990'!$K$195</v>
      </c>
      <c r="B389" s="6">
        <v>-0.118011614123109</v>
      </c>
      <c r="C389" s="5">
        <v>0.27107497409312398</v>
      </c>
      <c r="D389" s="5">
        <v>-0.40103857890796601</v>
      </c>
      <c r="E389" s="5">
        <v>0.62801342573686503</v>
      </c>
      <c r="F389" s="5">
        <v>-2.2456056954859801E-2</v>
      </c>
      <c r="G389" s="5">
        <v>7.9163673292041603E-2</v>
      </c>
      <c r="H389" s="5">
        <v>-0.113919774937691</v>
      </c>
      <c r="I389" s="5">
        <v>9.1059444257161296E-2</v>
      </c>
      <c r="J389" s="5">
        <v>-0.13393930351139599</v>
      </c>
      <c r="K389" s="5">
        <v>0.32581138224439699</v>
      </c>
      <c r="L389" s="5">
        <v>7.7564109651431703E-3</v>
      </c>
      <c r="M389" s="5">
        <v>2.1105847499183001E-2</v>
      </c>
      <c r="N389" s="5">
        <v>-4.2254476803283897E-2</v>
      </c>
      <c r="O389" s="5">
        <v>3.0995995028695801E-2</v>
      </c>
      <c r="P389" s="5">
        <v>-0.432281677519605</v>
      </c>
      <c r="Q389" s="5">
        <v>0.57882001655170701</v>
      </c>
      <c r="R389" s="5">
        <v>-5.8072012462235902E-2</v>
      </c>
      <c r="S389" s="5">
        <v>0.30514157183437601</v>
      </c>
      <c r="T389" s="5">
        <v>-0.41895520924868801</v>
      </c>
      <c r="U389" s="5">
        <v>0.47842541588158499</v>
      </c>
      <c r="V389" s="5">
        <v>-4.2904473508398096E-3</v>
      </c>
      <c r="W389" s="5">
        <v>7.0342078504071204E-2</v>
      </c>
      <c r="X389" s="5">
        <v>-0.36232734971383901</v>
      </c>
      <c r="Y389" s="5">
        <v>0.55987800576257396</v>
      </c>
      <c r="Z389" s="5">
        <v>-0.227475314644115</v>
      </c>
      <c r="AA389" s="5">
        <v>0.30203885851213802</v>
      </c>
      <c r="AB389" s="5">
        <v>-0.48078307757107203</v>
      </c>
      <c r="AC389" s="5">
        <v>0.64169888524566998</v>
      </c>
      <c r="AD389" s="5">
        <v>-0.41924091103090499</v>
      </c>
      <c r="AE389" s="5">
        <v>0.56166338012113204</v>
      </c>
      <c r="AF389" s="5">
        <v>0.117280031799932</v>
      </c>
      <c r="AG389" s="5">
        <v>5.5817701765752702E-2</v>
      </c>
      <c r="AH389" s="5">
        <v>-0.13057577282510499</v>
      </c>
      <c r="AI389" s="5">
        <v>0.20580237833179699</v>
      </c>
      <c r="AJ389" s="5">
        <v>-7.0586792612052293E-2</v>
      </c>
      <c r="AK389" s="5">
        <v>0.27591426883055298</v>
      </c>
      <c r="AL389" s="5">
        <v>0.30896401546957902</v>
      </c>
      <c r="AM389" s="5">
        <v>-0.27818845897803002</v>
      </c>
      <c r="AN389" s="5">
        <v>-0.26483270909576201</v>
      </c>
      <c r="AO389" s="5">
        <v>0.354126081764087</v>
      </c>
      <c r="AP389" s="5">
        <v>-0.37507765440475399</v>
      </c>
      <c r="AQ389" s="5">
        <v>0.43271591961914702</v>
      </c>
      <c r="AR389" s="5">
        <v>-1.7727785542632601E-2</v>
      </c>
      <c r="AS389" s="5">
        <v>0.17162049560550399</v>
      </c>
      <c r="AT389" s="5">
        <v>0.44144273073961998</v>
      </c>
      <c r="AU389" s="5">
        <v>-0.42954594660571899</v>
      </c>
      <c r="AV389" s="5">
        <v>-6.2072138519141E-2</v>
      </c>
      <c r="AW389" s="5">
        <v>0.33772207046488301</v>
      </c>
      <c r="AX389" s="5">
        <v>-0.13335628173254699</v>
      </c>
      <c r="AY389" s="5">
        <v>0.41204861647098801</v>
      </c>
      <c r="AZ389" s="5">
        <v>-0.44514781198262299</v>
      </c>
      <c r="BA389" s="5">
        <v>0.57193661228153503</v>
      </c>
      <c r="BB389" s="5">
        <v>-0.16827310443912499</v>
      </c>
      <c r="BC389" s="5">
        <v>0.41767855775813501</v>
      </c>
      <c r="BD389" s="5">
        <v>-0.1130261970235</v>
      </c>
      <c r="BE389" s="5">
        <v>0.24200555015108999</v>
      </c>
      <c r="BF389" s="5">
        <v>-0.51733602947569901</v>
      </c>
      <c r="BG389" s="5">
        <v>0.74608981203073699</v>
      </c>
      <c r="BH389" s="5">
        <v>-0.34428529663908403</v>
      </c>
      <c r="BI389" s="5">
        <v>0.55803011748581399</v>
      </c>
      <c r="BJ389" s="5">
        <v>-0.26579630794396503</v>
      </c>
      <c r="BK389" s="5">
        <v>0.132263129562291</v>
      </c>
      <c r="BL389" s="5">
        <v>-0.36493325493676898</v>
      </c>
      <c r="BM389" s="5">
        <v>0.40930178929460898</v>
      </c>
      <c r="BN389" s="5">
        <v>-9.1524116936679608E-3</v>
      </c>
      <c r="BO389" s="5">
        <v>-2.4895497167868701E-2</v>
      </c>
      <c r="BP389" s="5">
        <v>-0.129501775361824</v>
      </c>
      <c r="BQ389" s="5">
        <v>8.6493317757722704E-2</v>
      </c>
      <c r="BR389" s="5">
        <v>-0.42891357835905303</v>
      </c>
      <c r="BS389" s="5">
        <v>0.58007327447900803</v>
      </c>
      <c r="BT389" s="5">
        <v>-0.25795625463551403</v>
      </c>
      <c r="BU389" s="5">
        <v>0.52136675791505505</v>
      </c>
      <c r="BV389" s="5">
        <v>-0.315559217215859</v>
      </c>
      <c r="BW389" s="5">
        <v>0.524701303680702</v>
      </c>
      <c r="BX389" s="5">
        <v>-0.32765902879509801</v>
      </c>
      <c r="BY389" s="5">
        <v>0.52678260936961396</v>
      </c>
      <c r="BZ389" s="5">
        <v>-0.233988412537292</v>
      </c>
      <c r="CA389" s="5">
        <v>0.45057317885977999</v>
      </c>
      <c r="CB389" s="5">
        <v>1.14000778393532E-2</v>
      </c>
      <c r="CC389" s="5">
        <v>0.16345257760037099</v>
      </c>
      <c r="CD389" s="5">
        <v>-0.105643514064698</v>
      </c>
      <c r="CE389" s="5">
        <v>0.221897603727751</v>
      </c>
      <c r="CF389" s="5">
        <v>-0.329747014178426</v>
      </c>
      <c r="CG389" s="5">
        <v>0.44703026574747401</v>
      </c>
      <c r="CH389" s="5">
        <v>0.29665964273166101</v>
      </c>
      <c r="CI389" s="5">
        <v>-0.22313611099588099</v>
      </c>
      <c r="CJ389" s="5">
        <v>0.250017590548477</v>
      </c>
      <c r="CK389" s="5">
        <v>-0.143423705508889</v>
      </c>
      <c r="CL389" s="5">
        <v>-0.37247466353276998</v>
      </c>
      <c r="CM389" s="5">
        <v>0.44273482215593501</v>
      </c>
      <c r="CN389" s="5">
        <v>-0.29791297746193501</v>
      </c>
      <c r="CO389" s="5">
        <v>0.37479688736411099</v>
      </c>
      <c r="CP389" s="5">
        <v>-0.277635220769408</v>
      </c>
      <c r="CQ389" s="5">
        <v>0.339574072324205</v>
      </c>
      <c r="CR389" s="5">
        <v>-0.40885288227858502</v>
      </c>
      <c r="CS389" s="5">
        <v>0.54735461519117901</v>
      </c>
      <c r="CT389" s="5">
        <v>-0.33846298038303102</v>
      </c>
      <c r="CU389" s="5">
        <v>0.38591884796075099</v>
      </c>
      <c r="CV389" s="5">
        <v>-0.34742060524455998</v>
      </c>
      <c r="CW389" s="5">
        <v>0.47330145423369502</v>
      </c>
      <c r="CX389" s="5">
        <v>-0.18829116015664801</v>
      </c>
      <c r="CY389" s="5">
        <v>0.38929870239411402</v>
      </c>
      <c r="CZ389" s="5">
        <v>-0.29848520032241199</v>
      </c>
      <c r="DA389" s="5">
        <v>0.53225766600344904</v>
      </c>
      <c r="DB389" s="5">
        <v>-1.7890630399201302E-2</v>
      </c>
      <c r="DC389" s="5">
        <v>0.19205845809090999</v>
      </c>
      <c r="DD389" s="5">
        <v>-0.3093645537527</v>
      </c>
      <c r="DE389" s="5">
        <v>0.401620812304119</v>
      </c>
      <c r="DF389" s="5">
        <v>-2.2843029641578302E-2</v>
      </c>
      <c r="DG389" s="5">
        <v>0.16803620083755</v>
      </c>
      <c r="DH389" s="5">
        <v>-5.7322402213358999E-2</v>
      </c>
      <c r="DI389" s="5">
        <v>0.20140020713264301</v>
      </c>
      <c r="DJ389" s="5">
        <v>-0.34933125126084003</v>
      </c>
      <c r="DK389" s="5">
        <v>0.39001170903599203</v>
      </c>
      <c r="DL389" s="5">
        <v>-0.21766514148472599</v>
      </c>
      <c r="DM389" s="5">
        <v>0.39907391201898601</v>
      </c>
      <c r="DN389" s="5">
        <v>-0.28239290645359699</v>
      </c>
      <c r="DO389" s="5">
        <v>0.29764923546102601</v>
      </c>
      <c r="DP389" s="5">
        <v>0.14842351895297501</v>
      </c>
      <c r="DQ389" s="5">
        <v>-4.4234204332505501E-2</v>
      </c>
      <c r="DR389" s="5">
        <v>-0.141507950425552</v>
      </c>
      <c r="DS389" s="5">
        <v>0.243395851876027</v>
      </c>
      <c r="DT389" s="5">
        <v>7.6672612491392601E-4</v>
      </c>
      <c r="DU389" s="5">
        <v>4.8999837531297101E-2</v>
      </c>
      <c r="DV389" s="5">
        <v>-0.36580666879956197</v>
      </c>
      <c r="DW389" s="5">
        <v>0.55438939075933902</v>
      </c>
      <c r="DX389" s="5">
        <v>-0.21462050732663601</v>
      </c>
      <c r="DY389" s="5">
        <v>0.24762126418490399</v>
      </c>
      <c r="DZ389" s="5">
        <v>-0.13863237250812699</v>
      </c>
      <c r="EA389" s="5">
        <v>0.19301509679447801</v>
      </c>
      <c r="EB389" s="5">
        <v>-0.42987629460620003</v>
      </c>
      <c r="EC389" s="5">
        <v>0.57428112364364903</v>
      </c>
      <c r="ED389" s="5">
        <v>-0.362598783445155</v>
      </c>
      <c r="EE389" s="5">
        <v>0.53030604335555798</v>
      </c>
      <c r="EF389" s="5">
        <v>-0.44211827763700801</v>
      </c>
      <c r="EG389" s="5">
        <v>0.57158361215616604</v>
      </c>
      <c r="EH389" s="5">
        <v>-0.296299394355031</v>
      </c>
      <c r="EI389" s="5">
        <v>0.48452824165956698</v>
      </c>
      <c r="EJ389" s="5">
        <v>-0.376466987150331</v>
      </c>
      <c r="EK389" s="5">
        <v>0.57196494576792201</v>
      </c>
      <c r="EL389" s="5">
        <v>-0.19783498189776999</v>
      </c>
      <c r="EM389" s="5">
        <v>0.39245652128238401</v>
      </c>
      <c r="EN389" s="5">
        <v>0.22038758424643601</v>
      </c>
      <c r="EO389" s="5">
        <v>-0.201108402466491</v>
      </c>
      <c r="EP389" s="5">
        <v>-0.43886221784202101</v>
      </c>
      <c r="EQ389" s="5">
        <v>0.57467173405562699</v>
      </c>
      <c r="ER389" s="5">
        <v>-4.13439819845796E-2</v>
      </c>
      <c r="ES389" s="5">
        <v>0.21364968782910301</v>
      </c>
      <c r="ET389" s="5">
        <v>-0.21193959516284</v>
      </c>
      <c r="EU389" s="5">
        <v>0.46455912597068999</v>
      </c>
      <c r="EV389" s="5">
        <v>-0.109578739758438</v>
      </c>
      <c r="EW389" s="5">
        <v>0.36588180087366601</v>
      </c>
      <c r="EX389" s="5">
        <v>0.14559314227522699</v>
      </c>
      <c r="EY389" s="5">
        <v>5.9294849584940898E-2</v>
      </c>
      <c r="EZ389" s="5">
        <v>-7.3264971904195897E-2</v>
      </c>
      <c r="FA389" s="5">
        <v>0.260624568262801</v>
      </c>
      <c r="FB389" s="5">
        <v>-0.133914885611052</v>
      </c>
      <c r="FC389" s="5">
        <v>0.217927011653237</v>
      </c>
      <c r="FD389" s="5">
        <v>-0.12509913303009099</v>
      </c>
      <c r="FE389" s="5">
        <v>0.26964655829967898</v>
      </c>
      <c r="FF389" s="5">
        <v>-0.19637613478618501</v>
      </c>
      <c r="FG389" s="5">
        <v>0.278990976882657</v>
      </c>
      <c r="FH389" s="5">
        <v>0.12458123025147699</v>
      </c>
      <c r="FI389" s="5">
        <v>-5.8076785250578702E-2</v>
      </c>
      <c r="FJ389" s="5">
        <v>-0.13020438751594901</v>
      </c>
      <c r="FK389" s="5">
        <v>0.33405022134843698</v>
      </c>
      <c r="FL389" s="5">
        <v>-5.2517749832868901E-2</v>
      </c>
      <c r="FM389" s="5">
        <v>4.0147677300512698E-2</v>
      </c>
      <c r="FN389" s="5">
        <v>-0.20431171177504501</v>
      </c>
      <c r="FO389" s="5">
        <v>0.34741197244148603</v>
      </c>
      <c r="FP389" s="5">
        <v>-8.3358247490799203E-2</v>
      </c>
      <c r="FQ389" s="5">
        <v>0.212808579938879</v>
      </c>
      <c r="FR389" s="5">
        <v>8.8652166599083496E-2</v>
      </c>
      <c r="FS389" s="5">
        <v>-0.19008008051167</v>
      </c>
      <c r="FT389" s="5">
        <v>4.9854434684141198E-2</v>
      </c>
      <c r="FU389" s="5">
        <v>8.23765740841369E-2</v>
      </c>
      <c r="FV389" s="5">
        <v>-1.3064014361208701E-3</v>
      </c>
      <c r="FW389" s="5">
        <v>7.1602025321803195E-2</v>
      </c>
      <c r="FX389" s="5">
        <v>-7.9364583073993203E-2</v>
      </c>
      <c r="FY389" s="5">
        <v>0.24304744172116699</v>
      </c>
      <c r="FZ389" s="5">
        <v>-3.47321071056255E-2</v>
      </c>
      <c r="GA389" s="5">
        <v>0.18040520446632299</v>
      </c>
      <c r="GB389" s="5">
        <v>-0.14074872114363399</v>
      </c>
      <c r="GC389" s="5">
        <v>0.249329901238624</v>
      </c>
      <c r="GD389" s="5">
        <v>-0.18979859081452699</v>
      </c>
      <c r="GE389" s="5">
        <v>0.20584266654694799</v>
      </c>
      <c r="GF389" s="5">
        <v>3.2911047178016302E-2</v>
      </c>
      <c r="GG389" s="5">
        <v>0.21698506839221501</v>
      </c>
      <c r="GH389" s="5">
        <v>0.16063800300005801</v>
      </c>
      <c r="GI389" s="5">
        <v>-0.33308230720630999</v>
      </c>
      <c r="GJ389" s="5">
        <v>-0.103778732732191</v>
      </c>
      <c r="GK389" s="5">
        <v>0.32979390055667801</v>
      </c>
      <c r="GL389" s="5">
        <v>-0.48684952146421001</v>
      </c>
      <c r="GM389" s="5">
        <v>0.60182759152127097</v>
      </c>
      <c r="GN389" s="5">
        <v>-0.10409113554308</v>
      </c>
      <c r="GO389" s="5">
        <v>0.23602532032151199</v>
      </c>
      <c r="GP389" s="5">
        <v>-0.15818268541789901</v>
      </c>
      <c r="GQ389" s="5">
        <v>0.34279623329383302</v>
      </c>
      <c r="GR389" s="5">
        <v>-6.3374846871519994E-2</v>
      </c>
      <c r="GS389" s="5">
        <v>0.286283003968337</v>
      </c>
      <c r="GT389" s="5">
        <v>6.4139244314472793E-2</v>
      </c>
      <c r="GU389" s="5">
        <v>-2.7443468873516098E-2</v>
      </c>
      <c r="GV389" s="5">
        <v>-0.332261128366097</v>
      </c>
      <c r="GW389" s="5">
        <v>0.54857461520258199</v>
      </c>
      <c r="GX389" s="5">
        <v>-5.6558784756175401E-2</v>
      </c>
      <c r="GY389" s="5">
        <v>0.22352591710224801</v>
      </c>
      <c r="GZ389" s="5">
        <v>-0.38272601103688098</v>
      </c>
      <c r="HA389" s="5">
        <v>0.42491980765380599</v>
      </c>
      <c r="HB389" s="5">
        <v>-3.6631465119545299E-2</v>
      </c>
      <c r="HC389" s="5">
        <v>0.27712657748495001</v>
      </c>
      <c r="HD389" s="5">
        <v>-0.10279885995108</v>
      </c>
      <c r="HE389" s="5">
        <v>0.21677779904234501</v>
      </c>
      <c r="HF389" s="5">
        <v>-0.38114837588502698</v>
      </c>
      <c r="HG389" s="5">
        <v>0.43374248084066003</v>
      </c>
      <c r="HH389" s="5">
        <v>-0.23848989132836401</v>
      </c>
      <c r="HI389" s="5">
        <v>0.31138495273636901</v>
      </c>
      <c r="HJ389" s="5">
        <v>-0.38457822039602402</v>
      </c>
      <c r="HK389" s="5">
        <v>0.42957954311261398</v>
      </c>
      <c r="HL389" s="5">
        <v>-7.1142804713197005E-2</v>
      </c>
      <c r="HM389" s="5">
        <v>0.25540237779724101</v>
      </c>
      <c r="HN389" s="5">
        <v>-0.22617935141426199</v>
      </c>
      <c r="HO389" s="5">
        <v>0.32867603641669002</v>
      </c>
      <c r="HP389" s="5">
        <v>-4.3846278420079703E-2</v>
      </c>
      <c r="HQ389" s="5">
        <v>0.30280136987137402</v>
      </c>
      <c r="HR389" s="5">
        <v>-3.3904482606163001E-3</v>
      </c>
      <c r="HS389" s="5">
        <v>0.21686251685330099</v>
      </c>
      <c r="HT389" s="5">
        <v>-0.147673495298135</v>
      </c>
      <c r="HU389" s="5">
        <v>0.22671321603150399</v>
      </c>
      <c r="HV389" s="5">
        <v>-0.26001723695047602</v>
      </c>
      <c r="HW389" s="5">
        <v>0.42960131349511199</v>
      </c>
      <c r="HX389" s="5">
        <v>-6.8392886795498303E-3</v>
      </c>
      <c r="HY389" s="5">
        <v>0.22153524673797201</v>
      </c>
      <c r="HZ389" s="5">
        <v>-0.28983864688408401</v>
      </c>
      <c r="IA389" s="5">
        <v>0.37649781651022102</v>
      </c>
      <c r="IB389" s="5">
        <v>-9.7539847609532104E-2</v>
      </c>
      <c r="IC389" s="5">
        <v>4.49679156299852E-2</v>
      </c>
      <c r="ID389" s="5">
        <v>-0.41258124647396399</v>
      </c>
      <c r="IE389" s="5">
        <v>0.75961102147624404</v>
      </c>
      <c r="IF389" s="5">
        <v>-0.17762863198019899</v>
      </c>
      <c r="IG389" s="5">
        <v>0.35754701192772398</v>
      </c>
      <c r="IH389" s="5">
        <v>-0.43587576671561401</v>
      </c>
      <c r="II389" s="5">
        <v>0.57802231577373397</v>
      </c>
      <c r="IJ389" s="5">
        <v>8.7516569609945499E-2</v>
      </c>
      <c r="IK389" s="5">
        <v>-2.4480077913316599E-2</v>
      </c>
      <c r="IL389" s="5">
        <v>-0.20178219945933601</v>
      </c>
      <c r="IM389" s="5">
        <v>0.44884136370058098</v>
      </c>
      <c r="IN389" s="5">
        <v>-5.5921659463202801E-2</v>
      </c>
      <c r="IO389" s="5">
        <v>0.26494448867376402</v>
      </c>
      <c r="IP389" s="5">
        <v>-0.41634066071535403</v>
      </c>
      <c r="IQ389" s="5">
        <v>0.66541161969585205</v>
      </c>
      <c r="IR389" s="5">
        <v>0.352910483906758</v>
      </c>
      <c r="IS389" s="5">
        <v>-0.30172209725801702</v>
      </c>
      <c r="IT389" s="5">
        <v>-0.25345931630054203</v>
      </c>
      <c r="IU389" s="5">
        <v>0.44250509411078198</v>
      </c>
      <c r="IV389" s="5">
        <v>-0.457378114237455</v>
      </c>
      <c r="IW389" s="5">
        <v>0.62881304751862199</v>
      </c>
      <c r="IX389" s="5">
        <v>-0.174048664599978</v>
      </c>
      <c r="IY389" s="5">
        <v>0.35441805606219801</v>
      </c>
      <c r="IZ389" s="5">
        <v>-0.26614561445352097</v>
      </c>
      <c r="JA389" s="5">
        <v>0.33233022365236398</v>
      </c>
      <c r="JB389" s="5">
        <v>-0.35660772114649297</v>
      </c>
      <c r="JC389" s="5">
        <v>0.40321379150570302</v>
      </c>
      <c r="JD389" s="5">
        <v>-8.3408187027315298E-2</v>
      </c>
      <c r="JE389" s="5">
        <v>0.27280641585215298</v>
      </c>
      <c r="JF389" s="5">
        <v>-0.218590659269572</v>
      </c>
      <c r="JG389" s="5">
        <v>0.36429592517192499</v>
      </c>
      <c r="JH389" s="5">
        <v>-5.6065729974249703E-2</v>
      </c>
      <c r="JI389" s="5">
        <v>7.6768397232213195E-2</v>
      </c>
      <c r="JJ389" s="5">
        <v>-0.202076652389369</v>
      </c>
      <c r="JK389" s="5">
        <v>0.42809951012272801</v>
      </c>
      <c r="JL389" s="5">
        <v>-0.16356927589101</v>
      </c>
      <c r="JM389" s="5">
        <v>0.36683171758433403</v>
      </c>
      <c r="JN389" s="5">
        <v>-0.37766635845781898</v>
      </c>
      <c r="JO389" s="5">
        <v>0.54356929285456901</v>
      </c>
      <c r="JP389" s="5">
        <v>-0.111174180750579</v>
      </c>
      <c r="JQ389" s="5">
        <v>0.36762325728265899</v>
      </c>
      <c r="JR389" s="5">
        <v>0.116649426447726</v>
      </c>
      <c r="JS389" s="5">
        <v>7.9637605655110202E-2</v>
      </c>
      <c r="JT389" s="5">
        <v>0.23622226830113799</v>
      </c>
      <c r="JU389" s="5">
        <v>-0.155796111191844</v>
      </c>
      <c r="JV389" s="5">
        <v>0.109868831690066</v>
      </c>
      <c r="JW389" s="5">
        <v>1.36734648154391E-2</v>
      </c>
      <c r="JX389" s="5">
        <v>-0.37763002770561899</v>
      </c>
      <c r="JY389" s="5">
        <v>0.44564883959148299</v>
      </c>
      <c r="JZ389" s="5">
        <v>-0.40136766669046597</v>
      </c>
      <c r="KA389" s="5">
        <v>0.52124661734201205</v>
      </c>
      <c r="KB389" s="5">
        <v>-0.342517788324534</v>
      </c>
      <c r="KC389" s="5">
        <v>0.37820171760330701</v>
      </c>
      <c r="KD389" s="5">
        <v>2.1582095112876998E-2</v>
      </c>
      <c r="KE389" s="5">
        <v>9.6214682275666499E-2</v>
      </c>
      <c r="KF389" s="5">
        <v>-3.2354033059244697E-2</v>
      </c>
      <c r="KG389" s="5">
        <v>7.4065891001001805E-2</v>
      </c>
      <c r="KH389" s="5">
        <v>5.7345462861762002E-2</v>
      </c>
      <c r="KI389" s="5">
        <v>6.7926761921118795E-2</v>
      </c>
      <c r="KJ389" s="5">
        <v>-6.5110096817318094E-2</v>
      </c>
      <c r="KK389" s="5">
        <v>0.27038980802507001</v>
      </c>
      <c r="KL389" s="5">
        <v>0.117147709976411</v>
      </c>
      <c r="KM389" s="5">
        <v>-5.7457391827777198E-2</v>
      </c>
      <c r="KN389" s="5">
        <v>-0.28152839595931101</v>
      </c>
      <c r="KO389" s="5">
        <v>0.38362192565186298</v>
      </c>
      <c r="KP389" s="5">
        <v>-0.172596766997029</v>
      </c>
      <c r="KQ389" s="5">
        <v>0.12821560975149801</v>
      </c>
      <c r="KR389" s="5">
        <v>-0.30510213090606803</v>
      </c>
      <c r="KS389" s="5">
        <v>0.48843479099204701</v>
      </c>
      <c r="KT389" s="5">
        <v>-0.14177588522116</v>
      </c>
      <c r="KU389" s="5">
        <v>0.33623091168660801</v>
      </c>
      <c r="KV389" s="5">
        <v>-0.30635186767269901</v>
      </c>
      <c r="KW389" s="5">
        <v>0.482782570570716</v>
      </c>
      <c r="KX389" s="5">
        <v>-0.27780720709183698</v>
      </c>
      <c r="KY389" s="5">
        <v>0.45126856720793601</v>
      </c>
      <c r="KZ389" s="5">
        <v>3.1069618612098698E-2</v>
      </c>
      <c r="LA389" s="5">
        <v>9.4057831850106896E-2</v>
      </c>
      <c r="LB389" s="5">
        <v>-0.21127380100746601</v>
      </c>
      <c r="LC389" s="5">
        <v>0.41867878031688499</v>
      </c>
      <c r="LD389" s="5">
        <v>-7.4135332431766301E-2</v>
      </c>
      <c r="LE389" s="5">
        <v>0.26282231943355699</v>
      </c>
      <c r="LF389" s="5">
        <v>-0.14365594243598401</v>
      </c>
      <c r="LG389" s="5">
        <v>0.25474137080674802</v>
      </c>
      <c r="LH389" s="5">
        <v>-0.167203312844874</v>
      </c>
      <c r="LI389" s="5">
        <v>0.38487065125884201</v>
      </c>
      <c r="LJ389" s="5">
        <v>-0.14667860649553499</v>
      </c>
      <c r="LK389" s="5">
        <v>0.22755905995010001</v>
      </c>
      <c r="LL389" s="5">
        <v>-0.31262780792483702</v>
      </c>
      <c r="LM389" s="5">
        <v>0.491191577189239</v>
      </c>
      <c r="LN389" s="5">
        <v>-0.19807140677370699</v>
      </c>
      <c r="LO389" s="5">
        <v>0.35168302296385601</v>
      </c>
      <c r="LP389" s="5">
        <v>3.9332709639361202E-3</v>
      </c>
      <c r="LQ389" s="5">
        <v>0.28392599839545801</v>
      </c>
      <c r="LR389" s="5">
        <v>-0.39178224774375098</v>
      </c>
      <c r="LS389" s="5">
        <v>0.46170345004084401</v>
      </c>
      <c r="LT389" s="5">
        <v>-0.32692021925070802</v>
      </c>
      <c r="LU389" s="5">
        <v>0.41927752412099401</v>
      </c>
      <c r="LV389" s="5">
        <v>-0.34875628391417302</v>
      </c>
      <c r="LW389" s="5">
        <v>0.363240746060078</v>
      </c>
      <c r="LX389" s="5">
        <v>1.4179883143719599E-2</v>
      </c>
      <c r="LY389" s="5">
        <v>6.9171800709360201E-2</v>
      </c>
      <c r="LZ389" s="5">
        <v>-0.22276498432759001</v>
      </c>
      <c r="MA389" s="5">
        <v>0.44167268584249603</v>
      </c>
      <c r="MB389" s="5">
        <v>-0.46657084623589501</v>
      </c>
      <c r="MC389" s="5">
        <v>0.63143535556877595</v>
      </c>
      <c r="MD389" s="5">
        <v>-7.8248599953518197E-2</v>
      </c>
      <c r="ME389" s="5">
        <v>0.27340184327334899</v>
      </c>
      <c r="MF389" s="5">
        <v>0.208419323048434</v>
      </c>
      <c r="MG389" s="5">
        <v>-0.40420974116238301</v>
      </c>
      <c r="MH389" s="5">
        <v>-1.8217684285305701E-2</v>
      </c>
      <c r="MI389" s="5">
        <v>0.112657284056566</v>
      </c>
      <c r="MJ389" s="5">
        <v>0.32661517398936701</v>
      </c>
      <c r="MK389" s="5">
        <v>-0.32561055253550603</v>
      </c>
      <c r="ML389" s="5">
        <v>1.8846020306764199E-2</v>
      </c>
      <c r="MM389" s="5">
        <v>2.4936393452972501E-2</v>
      </c>
      <c r="MN389" s="5">
        <v>-0.49676572166340899</v>
      </c>
      <c r="MO389" s="5">
        <v>0.60211586148081098</v>
      </c>
      <c r="MP389" s="5">
        <v>-4.5506800991569001E-2</v>
      </c>
      <c r="MQ389" s="5">
        <v>0.187315405438754</v>
      </c>
      <c r="MR389" s="5">
        <v>-3.7365292083780602E-2</v>
      </c>
      <c r="MS389" s="5">
        <v>8.9697036475603106E-2</v>
      </c>
      <c r="MT389" s="5">
        <v>-0.31810456104979101</v>
      </c>
      <c r="MU389" s="5">
        <v>0.363819448979671</v>
      </c>
      <c r="MV389" s="5">
        <v>0.127024269356658</v>
      </c>
      <c r="MW389" s="5">
        <v>6.2076043640454097E-2</v>
      </c>
      <c r="MX389" s="5">
        <v>-7.0474887180709794E-2</v>
      </c>
      <c r="MY389" s="5">
        <v>0.27613684249303699</v>
      </c>
      <c r="MZ389" s="5">
        <v>-0.22237923808500601</v>
      </c>
      <c r="NA389" s="5">
        <v>0.39341498912182798</v>
      </c>
      <c r="NB389" s="5">
        <v>-0.34445734464961603</v>
      </c>
      <c r="NC389" s="5">
        <v>0.435225319838007</v>
      </c>
      <c r="ND389" s="5">
        <v>4.2189128298793399E-2</v>
      </c>
      <c r="NE389" s="5">
        <v>-7.3703617221487605E-2</v>
      </c>
      <c r="NF389" s="5">
        <v>-9.7672135587589401E-2</v>
      </c>
      <c r="NG389" s="5">
        <v>6.10224332348306E-2</v>
      </c>
      <c r="NH389" s="5">
        <v>4.9835887570163301E-2</v>
      </c>
      <c r="NI389" s="5">
        <v>-2.2650936650173599E-2</v>
      </c>
      <c r="NJ389" s="5">
        <v>-0.31151221550777197</v>
      </c>
      <c r="NK389" s="5">
        <v>0.50729887834154297</v>
      </c>
      <c r="NL389" s="5">
        <v>-4.21925626265632E-2</v>
      </c>
      <c r="NM389" s="5">
        <v>0.32541908215225301</v>
      </c>
      <c r="NN389" s="5">
        <v>0.237150276222726</v>
      </c>
      <c r="NO389" s="5">
        <v>-0.13225130885392899</v>
      </c>
      <c r="NP389" s="5">
        <v>-0.14080081450130499</v>
      </c>
      <c r="NQ389" s="5">
        <v>0.19647020745517099</v>
      </c>
      <c r="NR389" s="5">
        <v>-0.201077762619117</v>
      </c>
      <c r="NS389" s="5">
        <v>0.38323799128852998</v>
      </c>
      <c r="NT389" s="5">
        <v>-0.39399140949443501</v>
      </c>
      <c r="NU389" s="5">
        <v>0.60607350503855195</v>
      </c>
      <c r="NV389" s="5">
        <v>-0.57403985520272505</v>
      </c>
      <c r="NW389" s="5">
        <v>0.77353968076188995</v>
      </c>
      <c r="NX389" s="5">
        <v>-0.81902425340082297</v>
      </c>
      <c r="NY389" s="5">
        <v>1</v>
      </c>
    </row>
  </sheetData>
  <pageMargins left="0.7" right="0.7" top="0.75" bottom="0.75" header="0.3" footer="0.3"/>
  <pageSetup orientation="portrait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damages-1990</vt:lpstr>
      <vt:lpstr>correlation matrix</vt:lpstr>
      <vt:lpstr>betacorrelations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Dietz,S</dc:creator>
  <cp:lastModifiedBy>DIETZS</cp:lastModifiedBy>
  <dcterms:created xsi:type="dcterms:W3CDTF">2020-02-18T09:37:33Z</dcterms:created>
  <dcterms:modified xsi:type="dcterms:W3CDTF">2020-10-13T15:09:23Z</dcterms:modified>
</cp:coreProperties>
</file>