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ui/Documents/cuilicong/my-papers/201901-present-uth/submitted/2020-JAMIA-Fengbo/JAMIA_UMLS_Fengbo/1st-submission-reviews/suppl/"/>
    </mc:Choice>
  </mc:AlternateContent>
  <xr:revisionPtr revIDLastSave="0" documentId="13_ncr:1_{7571ECBD-8387-9247-B692-0AA9CA65DCB0}" xr6:coauthVersionLast="36" xr6:coauthVersionMax="45" xr10:uidLastSave="{00000000-0000-0000-0000-000000000000}"/>
  <bookViews>
    <workbookView xWindow="-320" yWindow="500" windowWidth="27640" windowHeight="16540" xr2:uid="{00000000-000D-0000-FFFF-FFFF00000000}"/>
  </bookViews>
  <sheets>
    <sheet name="Supplementary-Appendix-II-SNOME" sheetId="1" r:id="rId1"/>
  </sheets>
  <calcPr calcId="181029"/>
</workbook>
</file>

<file path=xl/calcChain.xml><?xml version="1.0" encoding="utf-8"?>
<calcChain xmlns="http://schemas.openxmlformats.org/spreadsheetml/2006/main">
  <c r="D2" i="1" l="1"/>
  <c r="E2" i="1"/>
  <c r="D3" i="1"/>
  <c r="E3" i="1"/>
  <c r="D4" i="1"/>
  <c r="E4" i="1"/>
  <c r="D5" i="1"/>
  <c r="E5" i="1"/>
  <c r="D6" i="1"/>
  <c r="E6" i="1"/>
  <c r="D7" i="1"/>
  <c r="E7" i="1"/>
  <c r="D8" i="1"/>
  <c r="E8" i="1"/>
  <c r="D9" i="1"/>
  <c r="E9" i="1"/>
  <c r="D10" i="1"/>
  <c r="E10" i="1"/>
  <c r="D11" i="1"/>
  <c r="E11" i="1"/>
  <c r="D12" i="1"/>
  <c r="E12" i="1"/>
  <c r="D13" i="1"/>
  <c r="E13" i="1"/>
  <c r="D14" i="1"/>
  <c r="E14" i="1"/>
  <c r="D15" i="1"/>
  <c r="E15" i="1"/>
  <c r="D16" i="1"/>
  <c r="E16" i="1"/>
  <c r="D17" i="1"/>
  <c r="E17" i="1"/>
  <c r="D18" i="1"/>
  <c r="E18" i="1"/>
  <c r="D19" i="1"/>
  <c r="E19" i="1"/>
  <c r="D20" i="1"/>
  <c r="E20" i="1"/>
  <c r="D21" i="1"/>
  <c r="E21" i="1"/>
  <c r="D22" i="1"/>
  <c r="E22" i="1"/>
  <c r="D23" i="1"/>
  <c r="E23" i="1"/>
  <c r="D24" i="1"/>
  <c r="E24" i="1"/>
  <c r="D25" i="1"/>
  <c r="E25" i="1"/>
  <c r="D26" i="1"/>
  <c r="E26" i="1"/>
  <c r="D27" i="1"/>
  <c r="E27" i="1"/>
  <c r="D28" i="1"/>
  <c r="E28" i="1"/>
  <c r="D29" i="1"/>
  <c r="E29" i="1"/>
  <c r="D30" i="1"/>
  <c r="E30" i="1"/>
  <c r="D31" i="1"/>
  <c r="E31" i="1"/>
  <c r="D32" i="1"/>
  <c r="E32" i="1"/>
  <c r="D33" i="1"/>
  <c r="E33" i="1"/>
  <c r="D34" i="1"/>
  <c r="E34" i="1"/>
  <c r="D35" i="1"/>
  <c r="E35" i="1"/>
  <c r="D36" i="1"/>
  <c r="E36" i="1"/>
  <c r="D37" i="1"/>
  <c r="E37" i="1"/>
  <c r="D38" i="1"/>
  <c r="E38" i="1"/>
  <c r="D39" i="1"/>
  <c r="E39" i="1"/>
  <c r="D40" i="1"/>
  <c r="E40" i="1"/>
  <c r="D41" i="1"/>
  <c r="E41" i="1"/>
  <c r="D42" i="1"/>
  <c r="E42" i="1"/>
  <c r="D43" i="1"/>
  <c r="E43" i="1"/>
  <c r="D44" i="1"/>
  <c r="E44" i="1"/>
  <c r="D45" i="1"/>
  <c r="E45" i="1"/>
  <c r="D46" i="1"/>
  <c r="E46" i="1"/>
  <c r="D47" i="1"/>
  <c r="E47" i="1"/>
  <c r="D48" i="1"/>
  <c r="E48" i="1"/>
  <c r="D49" i="1"/>
  <c r="E49" i="1"/>
  <c r="D50" i="1"/>
  <c r="E50" i="1"/>
  <c r="D51" i="1"/>
  <c r="E51" i="1"/>
  <c r="D52" i="1"/>
  <c r="E52" i="1"/>
  <c r="D53" i="1"/>
  <c r="E53" i="1"/>
  <c r="D54" i="1"/>
  <c r="E54" i="1"/>
  <c r="D55" i="1"/>
  <c r="E55" i="1"/>
  <c r="D56" i="1"/>
  <c r="E56" i="1"/>
  <c r="D57" i="1"/>
  <c r="E57" i="1"/>
  <c r="D58" i="1"/>
  <c r="E58" i="1"/>
  <c r="D59" i="1"/>
  <c r="E59" i="1"/>
  <c r="D60" i="1"/>
  <c r="E60" i="1"/>
  <c r="D61" i="1"/>
  <c r="E61" i="1"/>
  <c r="D62" i="1"/>
  <c r="E62" i="1"/>
  <c r="D63" i="1"/>
  <c r="E63" i="1"/>
  <c r="D64" i="1"/>
  <c r="E64" i="1"/>
  <c r="D65" i="1"/>
  <c r="E65" i="1"/>
  <c r="D66" i="1"/>
  <c r="E66" i="1"/>
  <c r="D67" i="1"/>
  <c r="E67" i="1"/>
  <c r="D68" i="1"/>
  <c r="E68" i="1"/>
  <c r="D69" i="1"/>
  <c r="E69" i="1"/>
  <c r="D70" i="1"/>
  <c r="E70" i="1"/>
  <c r="D71" i="1"/>
  <c r="E71" i="1"/>
  <c r="D72" i="1"/>
  <c r="E72" i="1"/>
  <c r="D73" i="1"/>
  <c r="E73" i="1"/>
  <c r="D74" i="1"/>
  <c r="E74" i="1"/>
  <c r="D75" i="1"/>
  <c r="E75" i="1"/>
  <c r="D76" i="1"/>
  <c r="E76" i="1"/>
  <c r="D77" i="1"/>
  <c r="E77" i="1"/>
  <c r="D78" i="1"/>
  <c r="E78" i="1"/>
  <c r="D79" i="1"/>
  <c r="E79" i="1"/>
  <c r="D80" i="1"/>
  <c r="E80" i="1"/>
  <c r="D81" i="1"/>
  <c r="E81" i="1"/>
  <c r="D82" i="1"/>
  <c r="E82" i="1"/>
  <c r="D83" i="1"/>
  <c r="E83" i="1"/>
  <c r="D84" i="1"/>
  <c r="E84" i="1"/>
  <c r="D85" i="1"/>
  <c r="E85" i="1"/>
  <c r="D86" i="1"/>
  <c r="E86" i="1"/>
  <c r="D87" i="1"/>
  <c r="E87" i="1"/>
  <c r="D88" i="1"/>
  <c r="E88" i="1"/>
  <c r="D89" i="1"/>
  <c r="E89" i="1"/>
  <c r="D90" i="1"/>
  <c r="E90" i="1"/>
  <c r="D91" i="1"/>
  <c r="E91" i="1"/>
  <c r="D92" i="1"/>
  <c r="E92" i="1"/>
  <c r="D93" i="1"/>
  <c r="E93" i="1"/>
  <c r="D94" i="1"/>
  <c r="E94" i="1"/>
  <c r="D95" i="1"/>
  <c r="E95" i="1"/>
  <c r="D96" i="1"/>
  <c r="E96" i="1"/>
  <c r="D97" i="1"/>
  <c r="E97" i="1"/>
  <c r="D98" i="1"/>
  <c r="E98" i="1"/>
  <c r="D99" i="1"/>
  <c r="E99" i="1"/>
  <c r="D100" i="1"/>
  <c r="E100" i="1"/>
  <c r="D101" i="1"/>
  <c r="E101" i="1"/>
  <c r="D102" i="1"/>
  <c r="E102" i="1"/>
  <c r="D103" i="1"/>
  <c r="E103" i="1"/>
  <c r="D104" i="1"/>
  <c r="E104" i="1"/>
  <c r="D105" i="1"/>
  <c r="E105" i="1"/>
  <c r="D106" i="1"/>
  <c r="E106" i="1"/>
  <c r="D107" i="1"/>
  <c r="E107" i="1"/>
  <c r="D108" i="1"/>
  <c r="E108" i="1"/>
  <c r="D109" i="1"/>
  <c r="E109" i="1"/>
  <c r="D110" i="1"/>
  <c r="E110" i="1"/>
  <c r="D111" i="1"/>
  <c r="E111" i="1"/>
  <c r="D112" i="1"/>
  <c r="E112" i="1"/>
  <c r="D113" i="1"/>
  <c r="E113" i="1"/>
  <c r="D114" i="1"/>
  <c r="E114" i="1"/>
  <c r="D115" i="1"/>
  <c r="E115" i="1"/>
  <c r="D116" i="1"/>
  <c r="E116" i="1"/>
  <c r="D117" i="1"/>
  <c r="E117" i="1"/>
  <c r="D118" i="1"/>
  <c r="E118" i="1"/>
  <c r="D119" i="1"/>
  <c r="E119" i="1"/>
  <c r="D120" i="1"/>
  <c r="E120" i="1"/>
  <c r="D121" i="1"/>
  <c r="E121" i="1"/>
  <c r="D122" i="1"/>
  <c r="E122" i="1"/>
  <c r="D123" i="1"/>
  <c r="E123" i="1"/>
  <c r="D124" i="1"/>
  <c r="E124" i="1"/>
  <c r="D125" i="1"/>
  <c r="E125" i="1"/>
  <c r="D126" i="1"/>
  <c r="E126" i="1"/>
  <c r="D127" i="1"/>
  <c r="E127" i="1"/>
  <c r="D128" i="1"/>
  <c r="E128" i="1"/>
  <c r="D129" i="1"/>
  <c r="E129" i="1"/>
  <c r="D130" i="1"/>
  <c r="E130" i="1"/>
  <c r="D131" i="1"/>
  <c r="E131" i="1"/>
  <c r="D132" i="1"/>
  <c r="E132" i="1"/>
  <c r="D133" i="1"/>
  <c r="E133" i="1"/>
  <c r="D134" i="1"/>
  <c r="E134" i="1"/>
  <c r="D135" i="1"/>
  <c r="E135" i="1"/>
  <c r="D136" i="1"/>
  <c r="E136" i="1"/>
  <c r="D137" i="1"/>
  <c r="E137" i="1"/>
  <c r="D138" i="1"/>
  <c r="E138" i="1"/>
  <c r="D139" i="1"/>
  <c r="E139" i="1"/>
  <c r="D140" i="1"/>
  <c r="E140" i="1"/>
  <c r="D141" i="1"/>
  <c r="E141" i="1"/>
  <c r="D142" i="1"/>
  <c r="E142" i="1"/>
  <c r="D143" i="1"/>
  <c r="E143" i="1"/>
  <c r="D144" i="1"/>
  <c r="E144" i="1"/>
  <c r="D145" i="1"/>
  <c r="E145" i="1"/>
  <c r="D146" i="1"/>
  <c r="E146" i="1"/>
  <c r="D147" i="1"/>
  <c r="E147" i="1"/>
  <c r="D148" i="1"/>
  <c r="E148" i="1"/>
  <c r="D149" i="1"/>
  <c r="E149" i="1"/>
  <c r="D150" i="1"/>
  <c r="E150" i="1"/>
  <c r="D151" i="1"/>
  <c r="E151" i="1"/>
  <c r="D152" i="1"/>
  <c r="E152" i="1"/>
  <c r="D153" i="1"/>
  <c r="E153" i="1"/>
  <c r="D154" i="1"/>
  <c r="E154" i="1"/>
  <c r="D155" i="1"/>
  <c r="E155" i="1"/>
  <c r="D156" i="1"/>
  <c r="E156" i="1"/>
  <c r="D157" i="1"/>
  <c r="E157" i="1"/>
  <c r="D158" i="1"/>
  <c r="E158" i="1"/>
  <c r="D159" i="1"/>
  <c r="E159" i="1"/>
  <c r="D160" i="1"/>
  <c r="E160" i="1"/>
  <c r="D161" i="1"/>
  <c r="E161" i="1"/>
  <c r="D162" i="1"/>
  <c r="E162" i="1"/>
  <c r="D163" i="1"/>
  <c r="E163" i="1"/>
  <c r="D164" i="1"/>
  <c r="E164" i="1"/>
  <c r="D165" i="1"/>
  <c r="E165" i="1"/>
  <c r="D166" i="1"/>
  <c r="E166" i="1"/>
  <c r="D167" i="1"/>
  <c r="E167" i="1"/>
  <c r="D168" i="1"/>
  <c r="E168" i="1"/>
  <c r="D169" i="1"/>
  <c r="E169" i="1"/>
  <c r="D170" i="1"/>
  <c r="E170" i="1"/>
  <c r="D171" i="1"/>
  <c r="E171" i="1"/>
  <c r="D172" i="1"/>
  <c r="E172" i="1"/>
  <c r="D173" i="1"/>
  <c r="E173" i="1"/>
  <c r="D174" i="1"/>
  <c r="E174" i="1"/>
  <c r="D175" i="1"/>
  <c r="E175" i="1"/>
  <c r="D176" i="1"/>
  <c r="E176" i="1"/>
  <c r="D177" i="1"/>
  <c r="E177" i="1"/>
  <c r="D178" i="1"/>
  <c r="E178" i="1"/>
  <c r="D179" i="1"/>
  <c r="E179" i="1"/>
  <c r="D180" i="1"/>
  <c r="E180" i="1"/>
  <c r="D181" i="1"/>
  <c r="E181" i="1"/>
  <c r="D182" i="1"/>
  <c r="E182" i="1"/>
  <c r="D183" i="1"/>
  <c r="E183" i="1"/>
  <c r="D184" i="1"/>
  <c r="E184" i="1"/>
  <c r="D185" i="1"/>
  <c r="E185" i="1"/>
  <c r="D186" i="1"/>
  <c r="E186" i="1"/>
  <c r="D187" i="1"/>
  <c r="E187" i="1"/>
  <c r="D188" i="1"/>
  <c r="E188" i="1"/>
  <c r="D189" i="1"/>
  <c r="E189" i="1"/>
  <c r="D190" i="1"/>
  <c r="E190" i="1"/>
  <c r="D191" i="1"/>
  <c r="E191" i="1"/>
  <c r="D192" i="1"/>
  <c r="E192" i="1"/>
  <c r="D193" i="1"/>
  <c r="E193" i="1"/>
  <c r="D194" i="1"/>
  <c r="E194" i="1"/>
  <c r="D195" i="1"/>
  <c r="E195" i="1"/>
  <c r="D196" i="1"/>
  <c r="E196" i="1"/>
  <c r="D197" i="1"/>
  <c r="E197" i="1"/>
  <c r="D198" i="1"/>
  <c r="E198" i="1"/>
  <c r="D199" i="1"/>
  <c r="E199" i="1"/>
  <c r="D200" i="1"/>
  <c r="E200" i="1"/>
  <c r="D201" i="1"/>
  <c r="E201" i="1"/>
</calcChain>
</file>

<file path=xl/sharedStrings.xml><?xml version="1.0" encoding="utf-8"?>
<sst xmlns="http://schemas.openxmlformats.org/spreadsheetml/2006/main" count="1060" uniqueCount="591">
  <si>
    <t>Benign neoplasm of false vocal cord (disorder)</t>
  </si>
  <si>
    <t>Benign neoplasm of vocal cord (disorder)</t>
  </si>
  <si>
    <t>No</t>
  </si>
  <si>
    <t xml:space="preserve">There is a technicality here. The "False Vocal Cord" is situated next to the "True Vocal Cords". Vocal cord commonly refers to the "True Vocal cord". I have not seen the word "Vocal Cord" refer to both "True" and "False" Vocal cords together. "False Vocal Cord" is also called "Ventricular Fold" in older books. https://medical-dictionary.thefreedictionary.com/false+vocal+cords </t>
  </si>
  <si>
    <t>NCI</t>
  </si>
  <si>
    <t>false vocal cord IS-A vocal cord</t>
  </si>
  <si>
    <t>Calculus of gallbladder and bile duct with acute and chronic cholecystitis (disorder)</t>
  </si>
  <si>
    <t>Calculus of gallbladder and bile duct with acute cholecystitis (disorder)</t>
  </si>
  <si>
    <t>The subconcept describes both acute and chronic cholecystitis. However, the superconcept only contains acute cholecystitis. The relationship should be reversed. The superconcept here belongs to the subconcept.</t>
  </si>
  <si>
    <t>MEDCIN</t>
  </si>
  <si>
    <t>acute and chronic cholecystitis IS-A acute cholecystitis</t>
  </si>
  <si>
    <t>Calculus of gallbladder with acute and chronic cholecystitis (disorder)</t>
  </si>
  <si>
    <t>Calculus of gallbladder with acute cholecystitis (disorder)</t>
  </si>
  <si>
    <t>same as #2</t>
  </si>
  <si>
    <t>Congenital vertical talus of left foot (disorder)</t>
  </si>
  <si>
    <t>Talipes of left foot (disorder)</t>
  </si>
  <si>
    <t>Verticle Talus causes Flatfoot. "Talipes" refers to Clubfoot. These are two distinct foot deformities. https://orthoinfo.aaos.org/en/diseases--conditions/vertical-talus/   https://orthoinfo.aaos.org/en/diseases--conditions/clubfoot/</t>
  </si>
  <si>
    <t>SNOMEDCT_US</t>
  </si>
  <si>
    <t>congenital vertical talus IS-A talipes valgus; talipes valgus IS-A talipes</t>
  </si>
  <si>
    <t>Deficiency of lysophospholipase (disorder)</t>
  </si>
  <si>
    <t>Deficiency of triacylglycerol lipase (disorder)</t>
  </si>
  <si>
    <t>These two enzymes are distinct from one another. https://en.wikipedia.org/wiki/Lysophospholipase    https://en.wikipedia.org/wiki/Triacylglycerol_lipase</t>
  </si>
  <si>
    <t>lysophospholipase IS-A phospholipase; phospholipase IS-A triacylglycerol lipase</t>
  </si>
  <si>
    <t>Diverticulitis of duodenum (disorder)</t>
  </si>
  <si>
    <t>Diverticulum of duodenum (finding)</t>
  </si>
  <si>
    <t>Diverticulum refers to a outpouching of the intestine. Diverticulitis is the infection of the diverticulum. However, we cannot conclude that the infection of the diverticulum is the diverticulum. These two are distinct clinical entities that share anatomical similarities only.</t>
  </si>
  <si>
    <t>diverticulitis IS-A diverticulum</t>
  </si>
  <si>
    <t>Neoplasm of lingual tonsil (disorder)</t>
  </si>
  <si>
    <t>Neoplasm of palatine tonsil (disorder)</t>
  </si>
  <si>
    <t>The lingual and palatine tonsil are two different structures. https://teachmeanatomy.info/neck/misc/tonsils-and-adenoids/</t>
  </si>
  <si>
    <t>UWDA, FMA, NCI</t>
  </si>
  <si>
    <t>lingual tonsil IS-A tonsil</t>
  </si>
  <si>
    <t>Periostitis of multiple sites (disorder)</t>
  </si>
  <si>
    <t>Osteitis of multiple sites (disorder)</t>
  </si>
  <si>
    <t xml:space="preserve">The periosteum is a soft tissue that surrounds the bone. Thus "Periostitis" refers to inflammation of the soft tissue layer. "Osteitis" refers to inflammation of the bone itself. </t>
  </si>
  <si>
    <t>periostitis IS-A osteitis</t>
  </si>
  <si>
    <t>Abrasion and/or friction burn of buttock with infection (disorder)</t>
  </si>
  <si>
    <t>Superficial injury of buttock with infection (disorder)</t>
  </si>
  <si>
    <t>Yes</t>
  </si>
  <si>
    <t>abrasion and/or friction burn IS-A superficial injury</t>
  </si>
  <si>
    <t>Abrasion of genitalia (disorder)</t>
  </si>
  <si>
    <t>Superficial injury of genitalia (disorder)</t>
  </si>
  <si>
    <t>abrasion IS-A abrasion and/or friction burn; abrasion and/or friction burn IS-A superficial injury</t>
  </si>
  <si>
    <t>Abscess of thumb of left hand (disorder)</t>
  </si>
  <si>
    <t>Abscess of finger of left hand (disorder)</t>
  </si>
  <si>
    <t>UWDA, FMA</t>
  </si>
  <si>
    <t>thumb IS-A finger</t>
  </si>
  <si>
    <t>Abscess of upper respiratory tract (disorder)</t>
  </si>
  <si>
    <t>Inflammatory disorder of upper respiratory tract (disorder)</t>
  </si>
  <si>
    <t>MEDCIN, SNOMEDCT_US, NCI</t>
  </si>
  <si>
    <t>abscess IS-A inflammatory disorder (SNOMEDCT_US, MEDCIN) | abscess IS-A infectious disorder; infectious disorder IS-A inflammatory disorder (NCI)</t>
  </si>
  <si>
    <t>Accidental poisoning caused by phenothiazine-based tranquilizer (disorder)</t>
  </si>
  <si>
    <t>Poisoning caused by phenothiazine-based tranquilizer (disorder)</t>
  </si>
  <si>
    <t>MEDCIN, SNOMEDCT_US</t>
  </si>
  <si>
    <t>accidental poisoning IS-A poisoning</t>
  </si>
  <si>
    <t>Acquired hammer toe of left foot (disorder)</t>
  </si>
  <si>
    <t>Acquired deformity of left foot (disorder)</t>
  </si>
  <si>
    <t>hammer toe IS-A flexion deformity; flexion deformity IS-A deformity</t>
  </si>
  <si>
    <t>Acute dacryoadenitis of left eye (disorder)</t>
  </si>
  <si>
    <t>Acute disease of eye (disorder)</t>
  </si>
  <si>
    <t>UWDA, FMA, SNOMEDCT_US, NCI</t>
  </si>
  <si>
    <t>acute dacryoadenitis IS-A acute inflammatory disease; acute inflammatory disease IS-A acute disease (SNOMEDCT_US)</t>
  </si>
  <si>
    <t>left eye IS-A eye (UWDA, FMA, NCI)</t>
  </si>
  <si>
    <t>Acute dacryoadenitis of right eye (disorder)</t>
  </si>
  <si>
    <t>right eye IS-A eye (UWDA, FMA, NCI)</t>
  </si>
  <si>
    <t>Acute deep venous thrombosis of pelvic vein (disorder)</t>
  </si>
  <si>
    <t>Deep venous thrombosis of pelvic vein (disorder)</t>
  </si>
  <si>
    <t>acute deep venous thrombosis IS-A deep venous thrombosis</t>
  </si>
  <si>
    <t>Acute gastrojejunal ulcer with hemorrhage AND with perforation but without obstruction (disorder)</t>
  </si>
  <si>
    <t>Acute peptic ulcer with hemorrhage AND with perforation but without obstruction (disorder)</t>
  </si>
  <si>
    <t>acute gastrojejunal ulcer IS-A acute gastric ulcer; acute gastric ulcer IS-A acute peptic ulcer</t>
  </si>
  <si>
    <t>Benign neoplasm of submental lymph nodes (disorder)</t>
  </si>
  <si>
    <t>Neoplasm of submental lymph nodes (disorder)</t>
  </si>
  <si>
    <t>benign neoplasm IS-A neoplasm by special category; neoplasm by special category IS-A neoplasm</t>
  </si>
  <si>
    <t>Benign teratoma of testis (disorder)</t>
  </si>
  <si>
    <t>Teratoma of testis (disorder)</t>
  </si>
  <si>
    <t>PDQ, NCI</t>
  </si>
  <si>
    <t>benign teratoma IS-A teratoma</t>
  </si>
  <si>
    <t>Blister of gum with infection (disorder)</t>
  </si>
  <si>
    <t>Superficial injury of gum with infection (disorder)</t>
  </si>
  <si>
    <t>blister IS-A superficial injury</t>
  </si>
  <si>
    <t>Blister of neck without infection (disorder)</t>
  </si>
  <si>
    <t>Superficial injury of neck without infection (disorder)</t>
  </si>
  <si>
    <t>Blister of trunk without infection (disorder)</t>
  </si>
  <si>
    <t>Superficial injury of trunk without infection (disorder)</t>
  </si>
  <si>
    <t>Burn of male genitalia (disorder)</t>
  </si>
  <si>
    <t>Burn of genitalia (disorder)</t>
  </si>
  <si>
    <t>male genitalia IS-A genitalia</t>
  </si>
  <si>
    <t>Calcific tendinitis of right hip (disorder)</t>
  </si>
  <si>
    <t>Tendinitis of right hip (disorder)</t>
  </si>
  <si>
    <t>calcific tendinitis IS-A tendinitis</t>
  </si>
  <si>
    <t>Camptodactyly of right hand (disorder)</t>
  </si>
  <si>
    <t>Congenital deformity of right hand (disorder)</t>
  </si>
  <si>
    <t>camptodactyly IS-A congenital deformity</t>
  </si>
  <si>
    <t>Cellulitis of scalp (disorder)</t>
  </si>
  <si>
    <t>Bacterial infection of skin (disorder)</t>
  </si>
  <si>
    <t>cellulitis IS-A bacterial infection (NCI)</t>
  </si>
  <si>
    <t>scalp IS-A skin of the scalp and neck; skin of the scalp and neck IS-A skin (NCI)</t>
  </si>
  <si>
    <t>Cerebral arteritis in giant cell arteritis (disorder)</t>
  </si>
  <si>
    <t>Cerebral arteritis in systemic vasculitis (disorder)</t>
  </si>
  <si>
    <t>giant cell arteritis IS-A primary systemic arteritis; primary systemic arteritis IS-A systemic vasculitis</t>
  </si>
  <si>
    <t>Chronic deep venous thrombosis of left thigh (disorder)</t>
  </si>
  <si>
    <t>Chronic deep venous thrombosis of thigh (disorder)</t>
  </si>
  <si>
    <t>left thigh IS-A thigh</t>
  </si>
  <si>
    <t>Chronic gastric ulcer without hemorrhage AND without perforation (disorder)</t>
  </si>
  <si>
    <t>Peptic ulcer without hemorrhage AND without perforation (disorder)</t>
  </si>
  <si>
    <t>chronic gastric ulcer IS-A gastric ulcer; gastric ulcer IS-A peptic ulcer</t>
  </si>
  <si>
    <t>Chronic nonsuppurative otitis media of right ear (disorder)</t>
  </si>
  <si>
    <t>Chronic otitis media of right ear (disorder)</t>
  </si>
  <si>
    <t>chronic nonsuppurative otitis media IS-A chronic otitis media</t>
  </si>
  <si>
    <t>Chronic osteomyelitis of right femur (disorder)</t>
  </si>
  <si>
    <t>Chronic osteomyelitis of femur (disorder)</t>
  </si>
  <si>
    <t>right femur IS-A femur</t>
  </si>
  <si>
    <t>Chronic tophaceous gout of left foot (disorder)</t>
  </si>
  <si>
    <t>Tophus of left foot co-occurrent and due to gout (disorder)</t>
  </si>
  <si>
    <t>chronic tophaceous gout IS-A gouty tophus</t>
  </si>
  <si>
    <t>Closed fracture of distal end of right ulna (disorder)</t>
  </si>
  <si>
    <t>Fracture of distal end of right ulna (disorder)</t>
  </si>
  <si>
    <t>closed fracture IS-A fracture</t>
  </si>
  <si>
    <t>Closed fracture of middle phalanx of ring finger (disorder)</t>
  </si>
  <si>
    <t>Fracture of middle phalanx of finger (disorder)</t>
  </si>
  <si>
    <t>closed fracture IS-A fracture (NCI)</t>
  </si>
  <si>
    <t>ring finger IS-A finger (UWDA, FMA)</t>
  </si>
  <si>
    <t>Closed fracture of vertebral column without spinal cord injury (disorder)</t>
  </si>
  <si>
    <t>Fracture of vertebral column without spinal cord injury (disorder)</t>
  </si>
  <si>
    <t>Congenital absence of right ovary (disorder)</t>
  </si>
  <si>
    <t>Congenital absence of ovary (disorder)</t>
  </si>
  <si>
    <t>right ovary IS-A ovary</t>
  </si>
  <si>
    <t>Congenital absence of right pulmonary artery (disorder)</t>
  </si>
  <si>
    <t>Congenital absence of artery (disorder)</t>
  </si>
  <si>
    <t>right pulmonary artery IS-A pulmonary artery; pulmonary artery IS-A artery</t>
  </si>
  <si>
    <t>Contusion of oropharynx (disorder)</t>
  </si>
  <si>
    <t>Wound of oropharynx (disorder)</t>
  </si>
  <si>
    <t>contusion IS-A wound</t>
  </si>
  <si>
    <t>Contusion of scrotum (disorder)</t>
  </si>
  <si>
    <t>Wound of skin (disorder)</t>
  </si>
  <si>
    <t>SNOMEDCT_US, NCI</t>
  </si>
  <si>
    <t>contusion IS-A wound (SNOMEDCT_US)</t>
  </si>
  <si>
    <t>scrotum IS-A skin (NCI)</t>
  </si>
  <si>
    <t>Deficiency of adenosylhomocysteinase (disorder)</t>
  </si>
  <si>
    <t>Deficiency of hydrolase (disorder)</t>
  </si>
  <si>
    <t>adenosylhomocysteinase IS-A hydrolase</t>
  </si>
  <si>
    <t>Deficiency of alcohol sulfotransferase (disorder)</t>
  </si>
  <si>
    <t>Deficiency of sulfotransferase (disorder)</t>
  </si>
  <si>
    <t>alcohol sulfotransferase IS-A sulfotransferase</t>
  </si>
  <si>
    <t>Deficiency of aromatic-L-amino-acid decarboxylase (disorder)</t>
  </si>
  <si>
    <t>Deficiency of lyase (disorder)</t>
  </si>
  <si>
    <t>aromatic-l-amino-acid decarboxylase IS-A lyase</t>
  </si>
  <si>
    <t>Deficiency of adenosine triphosphate pyrophosphatase (disorder)</t>
  </si>
  <si>
    <t>adenosinetriphosphatase IS-A hydrolase</t>
  </si>
  <si>
    <t>Deficiency of bisphosphoglycerate mutase (disorder)</t>
  </si>
  <si>
    <t>Deficiency of isomerase (disorder)</t>
  </si>
  <si>
    <t>bisphosphoglycerate mutase IS-A mutase; mutase IS-A isomerase</t>
  </si>
  <si>
    <t>Deficiency of cholate-CoA ligase (disorder)</t>
  </si>
  <si>
    <t>Deficiency of ligase (disorder)</t>
  </si>
  <si>
    <t>cholate-coa ligase IS-A ligase</t>
  </si>
  <si>
    <t>Deficiency of glycerol-3-phosphate acyltransferase (disorder)</t>
  </si>
  <si>
    <t>Deficiency of transacylase (disorder)</t>
  </si>
  <si>
    <t>glycerol-3-phosphate acyltransferase IS-A transacylase</t>
  </si>
  <si>
    <t>Deficiency of glycosidase (disorder)</t>
  </si>
  <si>
    <t>glycosidase IS-A hydrolase</t>
  </si>
  <si>
    <t>Deficiency of maltose phosphorylase (disorder)</t>
  </si>
  <si>
    <t>Deficiency of hexosyltransferase (disorder)</t>
  </si>
  <si>
    <t>maltose phosphorylase IS-A hexosyltransferase</t>
  </si>
  <si>
    <t>Deficiency of N-acetylgalactosamine-6-sulfatase (finding)</t>
  </si>
  <si>
    <t>Deficiency of sulfatase (disorder)</t>
  </si>
  <si>
    <t>n-acetylgalactosamine-6-sulfatase IS-A sulfatase</t>
  </si>
  <si>
    <t>Deficiency of pantetheine-phosphate adenylyltransferase (disorder)</t>
  </si>
  <si>
    <t>Deficiency of nucleotidyltransferase (disorder)</t>
  </si>
  <si>
    <t>pantetheine-phosphate adenylyltransferase IS-A nucleotidyltransferase</t>
  </si>
  <si>
    <t>Deficiency of phosphoribosylamine-glycine ligase (disorder)</t>
  </si>
  <si>
    <t>phosphoribosylamine-glycine ligase IS-A ligase</t>
  </si>
  <si>
    <t>Deficiency of phosphorylase phosphatase (disorder)</t>
  </si>
  <si>
    <t>phosphorylase phosphatase IS-A hydrolase</t>
  </si>
  <si>
    <t>Deficiency of proline dipeptidase (disorder)</t>
  </si>
  <si>
    <t>Deficiency of peptide hydrolase (disorder)</t>
  </si>
  <si>
    <t>proline dipeptidase IS-A peptide hydrolase</t>
  </si>
  <si>
    <t>Disorder involving deficiency of steryl-sulfatase (EC 3.1.6.2) (disorder)</t>
  </si>
  <si>
    <t>steryl-sulfatase IS-A arylsulfatase; arylsulfatase IS-A sulfatase; sulfatase IS-A hydrolase (SNOMEDCT_US) | steryl-sulfatase IS-A esterase; esterase IS-A hydrolase (NCI)</t>
  </si>
  <si>
    <t>Deficiency of thrombin (disorder)</t>
  </si>
  <si>
    <t>thrombin IS-A serine protease; serine protease IS-A peptide hydrolase</t>
  </si>
  <si>
    <t>Derangement of left wrist joint (disorder)</t>
  </si>
  <si>
    <t>Derangement of joint of hand (disorder)</t>
  </si>
  <si>
    <t>UWDA</t>
  </si>
  <si>
    <t>left wrist joint IS-A wrist joint; wrist joint IS-A joint of hand</t>
  </si>
  <si>
    <t>Cystic dermoid choristoma of brain (disorder)</t>
  </si>
  <si>
    <t>Neoplasm of brain (disorder)</t>
  </si>
  <si>
    <t>dermoid cyst IS-A cystic teratoma; cystic teratoma IS-A teratoma; teratoma IS-A nongerminomatous germ cell tumor; nongerminomatous germ cell tumor IS-A germ cell tumor; germ cell tumor IS-A neoplasm by morphology; neoplasm by morphology IS-A neoplasm (NCI) | dermoid cyst IS-A neoplasm, benign; neoplasm, benign IS-A neoplasm (SNOMEDCT_US)</t>
  </si>
  <si>
    <t>Empyema with bronchocutaneous fistula (disorder)</t>
  </si>
  <si>
    <t>Pleural empyema with fistula (disorder)</t>
  </si>
  <si>
    <t>bronchocutaneous fistula IS-A bronchial fistula; bronchial fistula IS-A fistula</t>
  </si>
  <si>
    <t>Finding of Hepatitis C status (finding)</t>
  </si>
  <si>
    <t>Finding of immune status (finding)</t>
  </si>
  <si>
    <t>hepatitis c status IS-A immune status</t>
  </si>
  <si>
    <t>Gastric ulcer without hemorrhage AND without perforation (disorder)</t>
  </si>
  <si>
    <t>HPO, MEDCIN, SNOMEDCT_US, NCI</t>
  </si>
  <si>
    <t>gastric ulcer IS-A peptic ulcer</t>
  </si>
  <si>
    <t>Gunshot wound of foot (disorder)</t>
  </si>
  <si>
    <t>Open wound of foot (disorder)</t>
  </si>
  <si>
    <t>gunshot wound IS-A open wound</t>
  </si>
  <si>
    <t>Hemimelia of lower limb (disorder)</t>
  </si>
  <si>
    <t>Ectromelia of lower limb (disorder)</t>
  </si>
  <si>
    <t>hemimelia IS-A ectromelia</t>
  </si>
  <si>
    <t>Immature teratoma of ovary (disorder)</t>
  </si>
  <si>
    <t>Teratoma of ovary (disorder)</t>
  </si>
  <si>
    <t>immature teratoma IS-A teratoma</t>
  </si>
  <si>
    <t>Infestation caused by Boophilus (disorder)</t>
  </si>
  <si>
    <t>Infestation caused by Ixodidae (disorder)</t>
  </si>
  <si>
    <t>boophilus IS-A ixodidae</t>
  </si>
  <si>
    <t>Injury of right renal artery (disorder)</t>
  </si>
  <si>
    <t>Injury of renal artery (disorder)</t>
  </si>
  <si>
    <t>right renal artery IS-A renal artery</t>
  </si>
  <si>
    <t>Laceration of finger of right hand (disorder)</t>
  </si>
  <si>
    <t>Open wound of finger of right hand (disorder)</t>
  </si>
  <si>
    <t>laceration IS-A open wound</t>
  </si>
  <si>
    <t>Laceration of left renal artery (disorder)</t>
  </si>
  <si>
    <t>laceration IS-A injury (NCI)</t>
  </si>
  <si>
    <t>left renal artery IS-A renal artery (UWDA, FMA, NCI)</t>
  </si>
  <si>
    <t>Lichen planus of scalp (disorder)</t>
  </si>
  <si>
    <t>Dermatosis of scalp (disorder)</t>
  </si>
  <si>
    <t>lichen planus IS-A dermatitis; dermatitis IS-A dermatosis</t>
  </si>
  <si>
    <t>Malignant melanoma of skin of forearm (disorder)</t>
  </si>
  <si>
    <t>Malignant neoplasm of skin of forearm (disorder)</t>
  </si>
  <si>
    <t>malignant melanoma IS-A malignant neoplasm</t>
  </si>
  <si>
    <t>Monoarthritis of right knee (disorder)</t>
  </si>
  <si>
    <t>Arthritis of right knee (disorder)</t>
  </si>
  <si>
    <t>monoarthritis IS-A arthritis</t>
  </si>
  <si>
    <t>Mononeuropathy of lower limb (disorder)</t>
  </si>
  <si>
    <t>Disorder of soft tissue of lower limb (disorder)</t>
  </si>
  <si>
    <t>mononeuropathy IS-A peripheral nerve disease; peripheral nerve disease IS-A disorder of soft tissue</t>
  </si>
  <si>
    <t>Nodule of skin of foot (finding)</t>
  </si>
  <si>
    <t>Lesion of skin of foot (disorder)</t>
  </si>
  <si>
    <t>nodule IS-A mass; mass IS-A lesion</t>
  </si>
  <si>
    <t>Occupational allergic contact dermatitis caused by agrochemical biocide (disorder)</t>
  </si>
  <si>
    <t>Occupational allergic contact dermatitis caused by biocide (disorder)</t>
  </si>
  <si>
    <t>agrochemical biocide IS-A biocide</t>
  </si>
  <si>
    <t>Open fracture of proximal phalanx of lesser toe of right foot (disorder)</t>
  </si>
  <si>
    <t>Open fracture of phalanx of lesser toe of right foot (disorder)</t>
  </si>
  <si>
    <t>FMA</t>
  </si>
  <si>
    <t>proximal phalanx IS-A phalanx</t>
  </si>
  <si>
    <t>Open wound of right thumb (disorder)</t>
  </si>
  <si>
    <t>Open wound of finger (disorder)</t>
  </si>
  <si>
    <t>same as #11</t>
  </si>
  <si>
    <t>right thumb IS-A thumb; thumb IS-A finger</t>
  </si>
  <si>
    <t>Osteoarthritis of first carpometacarpal joint of left hand (disorder)</t>
  </si>
  <si>
    <t>Arthritis of first carpometacarpal joint of left hand (disorder)</t>
  </si>
  <si>
    <t>HPO, MEDCIN, NCI</t>
  </si>
  <si>
    <t>osteoarthritis IS-A arthritis</t>
  </si>
  <si>
    <t>Osteoarthritis of knee (disorder)</t>
  </si>
  <si>
    <t>Arthritis of knee (disorder)</t>
  </si>
  <si>
    <t>Osteoarthritis of left subtalar joint (disorder)</t>
  </si>
  <si>
    <t>Arthritis of left subtalar joint (disorder)</t>
  </si>
  <si>
    <t>Pathological fracture of left fibula (disorder)</t>
  </si>
  <si>
    <t>Pathological fracture of fibula (disorder)</t>
  </si>
  <si>
    <t>left fibula IS-A fibula</t>
  </si>
  <si>
    <t>Primary malignant neoplasm of scrotum (disorder)</t>
  </si>
  <si>
    <t>Primary malignant neoplasm of skin (disorder)</t>
  </si>
  <si>
    <t>scrotum IS-A skin</t>
  </si>
  <si>
    <t>Pyogenic bacterial arthritis of elbow (disorder)</t>
  </si>
  <si>
    <t>Bacterial arthritis of elbow (disorder)</t>
  </si>
  <si>
    <t>pyogenic bacterial arthritis IS-A suppurative arthritis due to bacteria; suppurative arthritis due to bacteria IS-A bacterial arthritis</t>
  </si>
  <si>
    <t>Renal hypertension complicating pregnancy, childbirth and the puerperium (disorder)</t>
  </si>
  <si>
    <t>Hypertension complicating pregnancy, childbirth and the puerperium (disorder)</t>
  </si>
  <si>
    <t>renal hypertension IS-A hypertension</t>
  </si>
  <si>
    <t>Scapulothoracic bursitis of left shoulder (disorder)</t>
  </si>
  <si>
    <t>Bursitis of left shoulder (disorder)</t>
  </si>
  <si>
    <t>scapulothoracic bursitis IS-A bursitis of upper limb; bursitis of upper limb IS-A bursitis</t>
  </si>
  <si>
    <t>Scratch of head (finding)</t>
  </si>
  <si>
    <t>Abrasion of head (disorder)</t>
  </si>
  <si>
    <t>scratch IS-A abrasion</t>
  </si>
  <si>
    <t>Scratch of wrist (finding)</t>
  </si>
  <si>
    <t>Abrasion of wrist (disorder)</t>
  </si>
  <si>
    <t>Seen by medical ophthalmologist (finding)</t>
  </si>
  <si>
    <t>Seen by ophthalmologist (finding)</t>
  </si>
  <si>
    <t>medical ophthalmologist IS-A ophthalmologist</t>
  </si>
  <si>
    <t>Thrombophlebitis of torcular Herophili (disorder)</t>
  </si>
  <si>
    <t>Phlebitis of torcular Herophili (disorder)</t>
  </si>
  <si>
    <t>thrombophlebitis IS-A phlebitis</t>
  </si>
  <si>
    <t>Thumb joint - cold (finding)</t>
  </si>
  <si>
    <t>Finger joint - cold (finding)</t>
  </si>
  <si>
    <t>Traumatic dislocation of interphalangeal joint of thumb (disorder)</t>
  </si>
  <si>
    <t>Traumatic dislocation of interphalangeal joint of finger (disorder)</t>
  </si>
  <si>
    <t>Congenital bowing of femur (disorder)</t>
  </si>
  <si>
    <t>Congenital bowing of long bone (disorder)</t>
  </si>
  <si>
    <t>femur IS-A long bone</t>
  </si>
  <si>
    <t>Iritis with Crohn's disease (disorder)</t>
  </si>
  <si>
    <t>Iritis with inflammatory bowel disease (disorder)</t>
  </si>
  <si>
    <t>crohn's disease IS-A inflammatory bowel disease</t>
  </si>
  <si>
    <t>Deficiency of pyruvate decarboxylase (disorder)</t>
  </si>
  <si>
    <t>pyruvate decarboxylase IS-A lyase</t>
  </si>
  <si>
    <t>Benign neoplasm of prepuce (disorder)</t>
  </si>
  <si>
    <t>Benign neoplasm of skin (disorder)</t>
  </si>
  <si>
    <t>prepuce IS-A skin</t>
  </si>
  <si>
    <t>Blister of elbow without infection (disorder)</t>
  </si>
  <si>
    <t>Superficial injury of elbow without infection (disorder)</t>
  </si>
  <si>
    <t>Laceration of tendon of extensor muscle of finger at forearm level (disorder)</t>
  </si>
  <si>
    <t>Injury of tendon of extensor muscle of finger at forearm level (disorder)</t>
  </si>
  <si>
    <t>laceration IS-A injury</t>
  </si>
  <si>
    <t>Traumatic subdural hematoma with open intracranial wound (disorder)</t>
  </si>
  <si>
    <t>Intracranial hemorrhage following injury with open intracranial wound (disorder)</t>
  </si>
  <si>
    <t>traumatic subdural hematoma IS-A intracranial hematoma following injury; intracranial hematoma following injury IS-A intracranial hemorrhage following injury</t>
  </si>
  <si>
    <t>Scratch of abdomen (finding)</t>
  </si>
  <si>
    <t>Open wound of abdomen (disorder)</t>
  </si>
  <si>
    <t>scratch IS-A abrasion; abrasion IS-A open wound</t>
  </si>
  <si>
    <t>Traumatic dislocation of carpometacarpal joint of thumb (disorder)</t>
  </si>
  <si>
    <t>Traumatic dislocation of joint of finger (disorder)</t>
  </si>
  <si>
    <t>carpometacarpal joint IS-A joint of hand; joint of hand IS-A synovial joint; synovial joint IS-A joint (UWDA) | carpometacarpal joint IS-A synovial joint of hand; synovial joint of hand IS-A synovial joint of free upper limb segment; synovial joint of free upper limb segment IS-A synovial joint of free limb segment; synovial joint of free limb segment IS-A synovial joint; synovial joint IS-A joint (FMA) | carpometacarpal joint IS-A joint by site; joint by site IS-A joint (NCI)</t>
  </si>
  <si>
    <t>thumb IS-A finger (UWDA, FMA)</t>
  </si>
  <si>
    <t>Rupture of anterior cruciate ligament of left knee (disorder)</t>
  </si>
  <si>
    <t>Injury of cruciate ligament of knee (disorder)</t>
  </si>
  <si>
    <t>rupture IS-A injury (NCI)</t>
  </si>
  <si>
    <t>anterior cruciate ligament IS-A cruciate ligament (UWDA, FMA)</t>
  </si>
  <si>
    <t>left knee IS-A knee (UWDA, FMA)</t>
  </si>
  <si>
    <t>Deficiency of malonate CoA-transferase (disorder)</t>
  </si>
  <si>
    <t>Deficiency of coenzyme-A transferase (disorder)</t>
  </si>
  <si>
    <t>malonate coa-transferase IS-A coenzyme-a transferase</t>
  </si>
  <si>
    <t>Allergy to prochlorperazine (finding)</t>
  </si>
  <si>
    <t>Allergy to phenothiazine (finding)</t>
  </si>
  <si>
    <t>prochlorperazine IS-A phenothiazine</t>
  </si>
  <si>
    <t>Posterior vitreous detachment of right eye (disorder)</t>
  </si>
  <si>
    <t>Vitreous detachment of right eye (disorder)</t>
  </si>
  <si>
    <t>posterior vitreous detachment IS-A vitreous detachment</t>
  </si>
  <si>
    <t>Deficiency of uracil dehydrogenase (disorder)</t>
  </si>
  <si>
    <t>Deficiency of dehydrogenase (disorder)</t>
  </si>
  <si>
    <t>uracil dehydrogenase IS-A dehydrogenase</t>
  </si>
  <si>
    <t>Allergic contact dermatitis of eyelid (disorder)</t>
  </si>
  <si>
    <t>Contact dermatitis of eyelid (disorder)</t>
  </si>
  <si>
    <t>allergic contact dermatitis IS-A contact dermatitis</t>
  </si>
  <si>
    <t>Osteoarthritis of left sternoclavicular joint (disorder)</t>
  </si>
  <si>
    <t>Arthritis of left sternoclavicular joint (disorder)</t>
  </si>
  <si>
    <t>Deficiency of methylmalonyl-coenzyme A mutase (disorder)</t>
  </si>
  <si>
    <t>methylmalonyl-coa mutase IS-A mutase; mutase IS-A isomerase</t>
  </si>
  <si>
    <t>Deficiency of tryptophan-transfer ribonucleic acid ligase (disorder)</t>
  </si>
  <si>
    <t>tryptophan-trna ligase IS-A ligase</t>
  </si>
  <si>
    <t>Deficiency of ribonuclease (disorder)</t>
  </si>
  <si>
    <t>ribonuclease IS-A esterase; esterase IS-A hydrolase</t>
  </si>
  <si>
    <t>Furuncle of vulva (disorder)</t>
  </si>
  <si>
    <t>Disorder of skin of vulva (disorder)</t>
  </si>
  <si>
    <t>furuncle IS-A skin lesion; skin lesion IS-A disorder of skin</t>
  </si>
  <si>
    <t>Pressure ulcer of heel (disorder)</t>
  </si>
  <si>
    <t>Chronic ulcer of heel (disorder)</t>
  </si>
  <si>
    <t>pressure ulcer IS-A chronic ulcer</t>
  </si>
  <si>
    <t>Entrapment of left median nerve (disorder)</t>
  </si>
  <si>
    <t>Lesion of left median nerve (disorder)</t>
  </si>
  <si>
    <t>entrapment IS-A mechanical lesion; mechanical lesion IS-A lesion</t>
  </si>
  <si>
    <t>Abrasion and/or friction burn of scapular region without infection (disorder)</t>
  </si>
  <si>
    <t>Superficial injury of scapular region without infection (disorder)</t>
  </si>
  <si>
    <t>Fracture subluxation of thumb (disorder)</t>
  </si>
  <si>
    <t>Fracture subluxation of finger (disorder)</t>
  </si>
  <si>
    <t>Chorioretinal scar of posterior pole of left eye (disorder)</t>
  </si>
  <si>
    <t>Chorioretinal scar of posterior pole of eye (disorder)</t>
  </si>
  <si>
    <t>left eye IS-A eye</t>
  </si>
  <si>
    <t>Injury of left renal vein (disorder)</t>
  </si>
  <si>
    <t>Injury of renal vein (disorder)</t>
  </si>
  <si>
    <t>left renal vein IS-A renal vein</t>
  </si>
  <si>
    <t>Deficiency of peptidoglycan endopeptidase (disorder)</t>
  </si>
  <si>
    <t>peptidoglycan endopeptidase IS-A hydrolase</t>
  </si>
  <si>
    <t>Congenital absence of carotid artery (disorder)</t>
  </si>
  <si>
    <t>carotid artery IS-A artery</t>
  </si>
  <si>
    <t>Deficiency of alpha-aminoacylpeptide hydrolase (disorder)</t>
  </si>
  <si>
    <t>alpha-aminoacylpeptide hydrolase IS-A hydrolase</t>
  </si>
  <si>
    <t>Allergy to trifluoperazine (finding)</t>
  </si>
  <si>
    <t>trifluoperazine IS-A phenothiazine</t>
  </si>
  <si>
    <t>Deficiency of malate dehydrogenase (disorder)</t>
  </si>
  <si>
    <t>malate dehydrogenase IS-A dehydrogenase</t>
  </si>
  <si>
    <t>Infection caused by Saprochaete capitata (disorder)</t>
  </si>
  <si>
    <t>Infection caused by Saprochaete (disorder)</t>
  </si>
  <si>
    <t>saprochaete capitata IS-A saprochaete</t>
  </si>
  <si>
    <t>Cardiorespiratory failure as a complication of care (disorder)</t>
  </si>
  <si>
    <t>Heart failure as a complication of care (disorder)</t>
  </si>
  <si>
    <t xml:space="preserve">When the term "cardiorespiratory" is used, it typically refers to heart failure which leads to respiratory failure. However, this term is not very specific and not commonly used in modern literature. </t>
  </si>
  <si>
    <t>cardiorespiratory failure IS-A heart failure</t>
  </si>
  <si>
    <t>Acquired varus deformity of left ankle (disorder)</t>
  </si>
  <si>
    <t>Acquired deformity of left ankle (disorder)</t>
  </si>
  <si>
    <t>varus deformity IS-A angulation deformity; angulation deformity IS-A deformity</t>
  </si>
  <si>
    <t>Abrasion and/or friction burn of trunk without infection (disorder)</t>
  </si>
  <si>
    <t>On examination - Right diabetic foot at low risk (finding)</t>
  </si>
  <si>
    <t>On examination - Right diabetic foot at risk (disorder)</t>
  </si>
  <si>
    <t>These two terms are contradictory. "low risk" and "risk" fall into separate categories.</t>
  </si>
  <si>
    <t>low risk IS-A risk</t>
  </si>
  <si>
    <t>Gunshot wound of upper limb (disorder)</t>
  </si>
  <si>
    <t>Open wound of upper limb (disorder)</t>
  </si>
  <si>
    <t>Deep third degree burn of female genitalia (disorder)</t>
  </si>
  <si>
    <t>Deep third degree burn of genitalia (disorder)</t>
  </si>
  <si>
    <t>female genitalia IS-A genitalia</t>
  </si>
  <si>
    <t>Deficiency of phosphoglucomutase (disorder)</t>
  </si>
  <si>
    <t>phosphoglucomutase IS-A mutase; mutase IS-A isomerase</t>
  </si>
  <si>
    <t>Full thickness burn of male genitalia (disorder)</t>
  </si>
  <si>
    <t>Full thickness burn of genitalia (disorder)</t>
  </si>
  <si>
    <t>Deficiency of carboxypeptidase B (disorder)</t>
  </si>
  <si>
    <t>carboxypeptidase b IS-A carboxypeptidase; carboxypeptidase IS-A peptide hydrolase</t>
  </si>
  <si>
    <t>Microscopic polyarteritis nodosa with single organ involvement (disorder)</t>
  </si>
  <si>
    <t>Polyarteritis nodosa with single organ involvement (disorder)</t>
  </si>
  <si>
    <t>microscopic polyarteritis nodosa IS-A polyarteritis nodosa</t>
  </si>
  <si>
    <t>Finding of arrangement of female pelvis (finding)</t>
  </si>
  <si>
    <t>Finding of arrangement of pelvis (finding)</t>
  </si>
  <si>
    <t>female pelvis IS-A pelvis</t>
  </si>
  <si>
    <t>Trigger finger of right hand (disorder)</t>
  </si>
  <si>
    <t>Disorder of tendon of right hand (disorder)</t>
  </si>
  <si>
    <t>trigger finger IS-A disorder of tendon</t>
  </si>
  <si>
    <t>Laceration of intrinsic muscle of thumb (disorder)</t>
  </si>
  <si>
    <t>Laceration of intrinsic muscle of finger (disorder)</t>
  </si>
  <si>
    <t>Blister of scalp with infection (disorder)</t>
  </si>
  <si>
    <t>Blister of skin with infection (disorder)</t>
  </si>
  <si>
    <t>scalp IS-A skin of the scalp and neck; skin of the scalp and neck IS-A skin</t>
  </si>
  <si>
    <t>Deficiency of oximinotransferase (disorder)</t>
  </si>
  <si>
    <t>Deficiency of transferase (disorder)</t>
  </si>
  <si>
    <t>oximinotransferase IS-A transferase</t>
  </si>
  <si>
    <t>Merkel cell carcinoma of neck (disorder)</t>
  </si>
  <si>
    <t>Primary malignant neoplasm of soft tissues of neck (disorder)</t>
  </si>
  <si>
    <t>merkel cell carcinoma IS-A primary malignant neoplasm of skin; primary malignant neoplasm of skin IS-A primary malignant neoplasm of soft tissues</t>
  </si>
  <si>
    <t>Ring avulsion injury of thumb (disorder)</t>
  </si>
  <si>
    <t>Ring avulsion injury of finger (disorder)</t>
  </si>
  <si>
    <t>Congenital anomaly of blood vessel of right upper limb (disorder)</t>
  </si>
  <si>
    <t>Congenital anomaly of blood vessel of upper limb (disorder)</t>
  </si>
  <si>
    <t>right upper limb IS-A upper limb</t>
  </si>
  <si>
    <t>Presenile dementia with paranoia (disorder)</t>
  </si>
  <si>
    <t>Presenile dementia with delusions (disorder)</t>
  </si>
  <si>
    <t>The terms paranoia and delusion are interchangable in this setting.</t>
  </si>
  <si>
    <t>HPO</t>
  </si>
  <si>
    <t>paranoia IS-A delusions</t>
  </si>
  <si>
    <t>Deficiency of xanthine oxidase (disorder)</t>
  </si>
  <si>
    <t>Deficiency of oxidase (disorder)</t>
  </si>
  <si>
    <t>xanthine oxidase IS-A oxidase</t>
  </si>
  <si>
    <t>Allergy to foscarnet (finding)</t>
  </si>
  <si>
    <t>Allergy to reverse transcriptase inhibitor (finding)</t>
  </si>
  <si>
    <t xml:space="preserve">Foscarnet can reversibly bind to DNA polymerase or reverse transcriptase (not exclusive to reverse transcriptase). </t>
  </si>
  <si>
    <t>foscarnet IS-A non-nucleoside reverse transcriptase inhibitor; non-nucleoside reverse transcriptase inhibitor IS-A reverse transcriptase inhibitor</t>
  </si>
  <si>
    <t>Laceration of eyelid (disorder)</t>
  </si>
  <si>
    <t>Open wound of eyelid (disorder)</t>
  </si>
  <si>
    <t>Thyrotoxicosis in pregnancy (disorder)</t>
  </si>
  <si>
    <t>Hyperthyroidism in pregnancy (disorder)</t>
  </si>
  <si>
    <t>thyrotoxicosis IS-A hyperthyroidism</t>
  </si>
  <si>
    <t>Superficial laceration of knee (disorder)</t>
  </si>
  <si>
    <t>Superficial injury of knee (disorder)</t>
  </si>
  <si>
    <t>superficial laceration IS-A superficial injury</t>
  </si>
  <si>
    <t>Chronic duodenal ulcer without hemorrhage, without perforation AND without obstruction (disorder)</t>
  </si>
  <si>
    <t>Peptic ulcer without hemorrhage, without perforation AND without obstruction (disorder)</t>
  </si>
  <si>
    <t>chronic duodenal ulcer IS-A ulcer of duodenum; ulcer of duodenum IS-A peptic ulcer (SNOMEDCT_US) | chronic duodenal ulcer IS-A duodenal ulcer; duodenal ulcer IS-A peptic ulcer (MEDCIN)</t>
  </si>
  <si>
    <t>Closed fracture of vertebral column with spinal cord injury (disorder)</t>
  </si>
  <si>
    <t>Fracture of vertebral column with spinal cord injury (disorder)</t>
  </si>
  <si>
    <t>Hemangioendothelioma of abdomen (disorder)</t>
  </si>
  <si>
    <t>Neoplasm of blood vessel of abdomen (disorder)</t>
  </si>
  <si>
    <t>hemangioendothelioma IS-A neoplasm of blood vessel</t>
  </si>
  <si>
    <t>Abrasion of pelvic region (disorder)</t>
  </si>
  <si>
    <t>Superficial injury of pelvic region (disorder)</t>
  </si>
  <si>
    <t>Deficiency of beta-galactosidase (disorder)</t>
  </si>
  <si>
    <t>beta-galactosidase IS-A disaccharidase; disaccharidase IS-A hydrolase (SNOMEDCT_US) | beta-galactosidase IS-A hydrolase (NCI)</t>
  </si>
  <si>
    <t>Abrasion and/or friction burn of lip without infection (disorder)</t>
  </si>
  <si>
    <t>Superficial injury of lip without infection (disorder)</t>
  </si>
  <si>
    <t>Deficiency of serine-transfer ribonucleic acid ligase (disorder)</t>
  </si>
  <si>
    <t>serine-trna ligase IS-A ligase</t>
  </si>
  <si>
    <t>Rupture of muscle (disorder)</t>
  </si>
  <si>
    <t>Injury of muscle (disorder)</t>
  </si>
  <si>
    <t>rupture IS-A injury</t>
  </si>
  <si>
    <t>Septic thrombophlebitis of sigmoid sinus (disorder)</t>
  </si>
  <si>
    <t>Thrombophlebitis of sigmoid sinus (disorder)</t>
  </si>
  <si>
    <t>septic thrombophlebitis IS-A thrombophlebitis</t>
  </si>
  <si>
    <t>Prominent leg veins - symptom (finding)</t>
  </si>
  <si>
    <t>Prominent veins - symptom (finding)</t>
  </si>
  <si>
    <t>prominent leg veins IS-A prominent veins</t>
  </si>
  <si>
    <t>Deficiency of malate oxidase (disorder)</t>
  </si>
  <si>
    <t>malate oxidase IS-A oxidase</t>
  </si>
  <si>
    <t>Contusion of heart without hemopericardium (disorder)</t>
  </si>
  <si>
    <t>Injury of heart without hemopericardium (disorder)</t>
  </si>
  <si>
    <t>contusion IS-A bruise; bruise IS-A injury</t>
  </si>
  <si>
    <t>Obsessional thoughts of poisoning (finding)</t>
  </si>
  <si>
    <t>Obsessional thoughts of disease (finding)</t>
  </si>
  <si>
    <t>poisoning IS-A disease</t>
  </si>
  <si>
    <t>Deficiency of ketotetrose-phosphate aldolase (disorder)</t>
  </si>
  <si>
    <t>ketotetrose-phosphate aldolase IS-A lyase</t>
  </si>
  <si>
    <t>Secondary malignant neoplasm of retrocecal tissue (disorder)</t>
  </si>
  <si>
    <t>Malignant neoplasm of retrocecal tissue (disorder)</t>
  </si>
  <si>
    <t>This is a true statement. Secondary neoplasm arises from the consequeces of treatment of the intial neoplasm. It is still a neoplasm of that same tissue.</t>
  </si>
  <si>
    <t>MEDCIN, NCI</t>
  </si>
  <si>
    <t>secondary malignant neoplasm IS-A malignant neoplasm</t>
  </si>
  <si>
    <t>Scratch of forehead (finding)</t>
  </si>
  <si>
    <t>Abrasion of forehead (disorder)</t>
  </si>
  <si>
    <t>Deficiency of deoxyribonucleic acid-directed ribonucleic acid polymerase (disorder)</t>
  </si>
  <si>
    <t xml:space="preserve">The subconcept is a very antiquated term. </t>
  </si>
  <si>
    <t>dna-directed rna polymerase IS-A nucleotidyltransferase (SNOMEDCT_US) | dna-directed rna polymerase IS-A rna polymerase; rna polymerase IS-A polymerase; polymerase IS-A nucleotidyltransferase (NCI)</t>
  </si>
  <si>
    <t>Deficiency of uracil phosphoribosyltransferase (disorder)</t>
  </si>
  <si>
    <t>Deficiency of pentosyltransferase (disorder)</t>
  </si>
  <si>
    <t>uracil phosphoribosyltransferase IS-A pentosyltransferase</t>
  </si>
  <si>
    <t>Benign neoplasm of scrotum (disorder)</t>
  </si>
  <si>
    <t>Lymphedema of lower extremity (disorder)</t>
  </si>
  <si>
    <t>Vascular disorder of lower extremity (disorder)</t>
  </si>
  <si>
    <t xml:space="preserve">Lymphedema is secondary to damage to lymphatic system. Typically not classified as a "vascular" problem. </t>
  </si>
  <si>
    <t>lymphedema IS-A non-neoplastic vascular disorder; non-neoplastic vascular disorder IS-A vascular disorder</t>
  </si>
  <si>
    <t>Insect bite of thumb (disorder)</t>
  </si>
  <si>
    <t>Insect bite of finger (disorder)</t>
  </si>
  <si>
    <t>Malignant neoplasm of occipital lobe (disorder)</t>
  </si>
  <si>
    <t>Malignant neoplasm of cerebral cortex (disorder)</t>
  </si>
  <si>
    <t>NEU</t>
  </si>
  <si>
    <t>occipital lobe IS-A cerebral cortex</t>
  </si>
  <si>
    <t>Benign neoplasm of placenta (disorder)</t>
  </si>
  <si>
    <t>Neoplasm of placenta (disorder)</t>
  </si>
  <si>
    <t>Carbuncle of thumb (disorder)</t>
  </si>
  <si>
    <t>Carbuncle of finger (disorder)</t>
  </si>
  <si>
    <t>Open fracture of proximal phalanx of lesser toe of left foot (disorder)</t>
  </si>
  <si>
    <t>Open fracture of phalanx of lesser toe of left foot (disorder)</t>
  </si>
  <si>
    <t>Acute epiglottitis with obstruction (disorder)</t>
  </si>
  <si>
    <t>Acute laryngitis with obstruction (disorder)</t>
  </si>
  <si>
    <t>acute epiglottitis IS-A acute laryngitis</t>
  </si>
  <si>
    <t>Mechanical complication of hemodialysis catheter (disorder)</t>
  </si>
  <si>
    <t>Mechanical complication of dialysis catheter (disorder)</t>
  </si>
  <si>
    <t>hemodialysis catheter IS-A dialysis catheter</t>
  </si>
  <si>
    <t>Deficiency of lactate racemase (disorder)</t>
  </si>
  <si>
    <t>lactate racemase IS-A isomerase</t>
  </si>
  <si>
    <t>Acute osteomyelitis of multiple sites (disorder)</t>
  </si>
  <si>
    <t>acute osteomyelitis IS-A osteomyelitis; osteomyelitis IS-A osteitis</t>
  </si>
  <si>
    <t>Glomangiomyoma of skin (disorder)</t>
  </si>
  <si>
    <t>Glomus tumor of skin (disorder)</t>
  </si>
  <si>
    <t>glomangiomyoma IS-A glomus tumor</t>
  </si>
  <si>
    <t>Deficiency of glutamate decarboxylase (disorder)</t>
  </si>
  <si>
    <t>glutamate decarboxylase IS-A lyase</t>
  </si>
  <si>
    <t>Traumatic amputation of thumb with complication (disorder)</t>
  </si>
  <si>
    <t>Traumatic amputation of finger with complication (disorder)</t>
  </si>
  <si>
    <t>Follicular cyst of right ovary (disorder)</t>
  </si>
  <si>
    <t>Follicular cyst of ovary (disorder)</t>
  </si>
  <si>
    <t>Laceration of tendon of lower back (disorder)</t>
  </si>
  <si>
    <t>Injury of tendon of lower back (disorder)</t>
  </si>
  <si>
    <t>Deficiency of glucosamine-phosphate acetyltransferase (disorder)</t>
  </si>
  <si>
    <t>Transacylase is a older term for acyltransferase</t>
  </si>
  <si>
    <t>glucosamine-phosphate acetyltransferase IS-A transacylase</t>
  </si>
  <si>
    <t>Mercaptopurine adverse reaction (disorder)</t>
  </si>
  <si>
    <t>Immunosuppressant adverse reaction (disorder)</t>
  </si>
  <si>
    <t>mercaptopurine IS-A immunosuppressant</t>
  </si>
  <si>
    <t>Deficiency of glucose oxidase (disorder)</t>
  </si>
  <si>
    <t>glucose oxidase IS-A oxidase</t>
  </si>
  <si>
    <t>Deficiency of betaine-aldehyde dehydrogenase (disorder)</t>
  </si>
  <si>
    <t>betaine-aldehyde dehydrogenase IS-A dehydrogenase</t>
  </si>
  <si>
    <t>Chorioretinitis of left eye caused by Toxoplasma gondii (disorder)</t>
  </si>
  <si>
    <t>Uveitis of left eye caused by Toxoplasma gondii (disorder)</t>
  </si>
  <si>
    <t>Chorioretinitis refers to inflammation of both the retina and choroid. While Choroid is a component of Uvea, retina does not belong.</t>
  </si>
  <si>
    <t>chorioretinitis IS-A uveitis (NCI) | chorioretinitis IS-A choroiditis; choroiditis IS-A posterior uveitis; posterior uveitis IS-A uveitis (SNOMEDCT_US)</t>
  </si>
  <si>
    <t>Deficiency of 2-hydroxyglutarate dehydrogenase (disorder)</t>
  </si>
  <si>
    <t>2-hydroxyglutarate dehydrogenase IS-A dehydrogenase</t>
  </si>
  <si>
    <t>Abnormal increase in number (finding)</t>
  </si>
  <si>
    <t>Abnormal increase in quantity (finding)</t>
  </si>
  <si>
    <t>number IS-A quantity</t>
  </si>
  <si>
    <t>Under care of medical ophthalmologist (finding)</t>
  </si>
  <si>
    <t>Under care of ophthalmologist (finding)</t>
  </si>
  <si>
    <t>Strabismic amblyopia of right eye (disorder)</t>
  </si>
  <si>
    <t>Amblyopia of right eye (disorder)</t>
  </si>
  <si>
    <t>strabismic amblyopia IS-A amblyopia</t>
  </si>
  <si>
    <t>Dysphasia due to and following hemorrhagic cerebrovascular accident (disorder)</t>
  </si>
  <si>
    <t>Dysphasia due to and following cerebrovascular accident (disorder)</t>
  </si>
  <si>
    <t>hemorrhagic cerebrovascular accident IS-A cerebrovascular accident</t>
  </si>
  <si>
    <t>Complication of hemodialysis (disorder)</t>
  </si>
  <si>
    <t>Complication of renal dialysis (disorder)</t>
  </si>
  <si>
    <t>hemodialysis IS-A renal dialysis</t>
  </si>
  <si>
    <t>Glass in thumb (disorder)</t>
  </si>
  <si>
    <t>Glass in finger (disorder)</t>
  </si>
  <si>
    <t>Injury of intrinsic muscle of finger (disorder)</t>
  </si>
  <si>
    <t>Furuncle of left upper limb (disorder)</t>
  </si>
  <si>
    <t>Disorder of skin of upper limb (disorder)</t>
  </si>
  <si>
    <t>UWDA, FMA, SNOMEDCT_US</t>
  </si>
  <si>
    <t>furuncle IS-A skin lesion; skin lesion IS-A disorder of skin (SNOMEDCT_US)</t>
  </si>
  <si>
    <t>left upper limb IS-A upper limb (UWDA, FMA)</t>
  </si>
  <si>
    <t>Obsessive compulsive disorder caused by cocaine (disorder)</t>
  </si>
  <si>
    <t>Anxiety disorder caused by stimulant (disorder)</t>
  </si>
  <si>
    <t>obsessive compulsive disorder IS-A anxiety disorder (NCI)</t>
  </si>
  <si>
    <t>cocaine IS-A psychostimulant; psychostimulant IS-A stimulant (SNOMEDCT_US)</t>
  </si>
  <si>
    <t>Nodule of skin of right foot (finding)</t>
  </si>
  <si>
    <t>nodule IS-A mass; mass IS-A lesion (SNOMEDCT_US)</t>
  </si>
  <si>
    <t>right foot IS-A foot (UWDA, FMA)</t>
  </si>
  <si>
    <t>Laceration of fascia of flexor muscle of thumb at forearm level (disorder)</t>
  </si>
  <si>
    <t>Injury of fascia of flexor muscle of finger at forearm level (disorder)</t>
  </si>
  <si>
    <t>Abscess of nasal septum (disorder)</t>
  </si>
  <si>
    <t>Inflammatory disorder of cartilage (disorder)</t>
  </si>
  <si>
    <t>nasal septum IS-A nasal cartilage; nasal cartilage IS-A cartilage (NCI)</t>
  </si>
  <si>
    <t>Primary malignant neoplasm of frontal lobe (disorder)</t>
  </si>
  <si>
    <t>NEU, MEDCIN, NCI</t>
  </si>
  <si>
    <t>primary malignant neoplasm IS-A malignant neoplasm (MEDCIN, NCI)</t>
  </si>
  <si>
    <t>frontal lobe IS-A cerebral cortex (NEU)</t>
  </si>
  <si>
    <t>Open fracture of distal phalanx of thumb of left hand (disorder)</t>
  </si>
  <si>
    <t>Open fracture of phalanx of finger of left hand (disorder)</t>
  </si>
  <si>
    <t>distal phalanx IS-A phalanx (FMA)</t>
  </si>
  <si>
    <t>Seq#</t>
  </si>
  <si>
    <t>Subconcept</t>
  </si>
  <si>
    <t>Superconcept</t>
  </si>
  <si>
    <t>SubconceptID</t>
  </si>
  <si>
    <t>SuperconceptID</t>
  </si>
  <si>
    <t>AgreeOrNot</t>
  </si>
  <si>
    <t>Comments</t>
  </si>
  <si>
    <t>Evidence Resource(s)</t>
  </si>
  <si>
    <t>Evidence for 1st Replacement</t>
  </si>
  <si>
    <t>Evidence for 2nd Replacement</t>
  </si>
  <si>
    <t>Evidence for 3rd Replacement</t>
  </si>
  <si>
    <t xml:space="preserve">Keep in mind that SNOMED CT does not count thumb as a finger as our 2nd reviewer pointed out (it classifies "finger" only for digits 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</si>
</sst>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horizontal="left" vertical="top"/>
    </xf>
    <xf numFmtId="1" fontId="16" fillId="0" borderId="0" xfId="0" applyNumberFormat="1" applyFont="1" applyAlignment="1">
      <alignment horizontal="left" vertical="top"/>
    </xf>
    <xf numFmtId="0" fontId="16" fillId="0" borderId="0" xfId="0" applyFont="1" applyAlignment="1">
      <alignment horizontal="left" vertical="top" wrapText="1"/>
    </xf>
    <xf numFmtId="0" fontId="16" fillId="0" borderId="0" xfId="0" applyFont="1"/>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selection activeCell="G123" sqref="G123"/>
    </sheetView>
  </sheetViews>
  <sheetFormatPr baseColWidth="10" defaultRowHeight="16" x14ac:dyDescent="0.2"/>
  <cols>
    <col min="1" max="1" width="7.5" customWidth="1"/>
    <col min="2" max="2" width="45.33203125" customWidth="1"/>
    <col min="3" max="3" width="41.83203125" customWidth="1"/>
    <col min="4" max="4" width="20.1640625" customWidth="1"/>
    <col min="5" max="5" width="19.33203125" customWidth="1"/>
    <col min="7" max="7" width="41.1640625" customWidth="1"/>
    <col min="8" max="8" width="31.1640625" customWidth="1"/>
    <col min="9" max="9" width="27" customWidth="1"/>
    <col min="10" max="10" width="26.1640625" customWidth="1"/>
    <col min="11" max="11" width="27.6640625" customWidth="1"/>
  </cols>
  <sheetData>
    <row r="1" spans="1:12" s="5" customFormat="1" ht="17" x14ac:dyDescent="0.2">
      <c r="A1" s="1" t="s">
        <v>579</v>
      </c>
      <c r="B1" s="1" t="s">
        <v>580</v>
      </c>
      <c r="C1" s="1" t="s">
        <v>581</v>
      </c>
      <c r="D1" s="2" t="s">
        <v>582</v>
      </c>
      <c r="E1" s="2" t="s">
        <v>583</v>
      </c>
      <c r="F1" s="1" t="s">
        <v>584</v>
      </c>
      <c r="G1" s="3" t="s">
        <v>585</v>
      </c>
      <c r="H1" s="4" t="s">
        <v>586</v>
      </c>
      <c r="I1" s="4" t="s">
        <v>587</v>
      </c>
      <c r="J1" s="1" t="s">
        <v>588</v>
      </c>
      <c r="K1" s="1" t="s">
        <v>589</v>
      </c>
      <c r="L1" s="1"/>
    </row>
    <row r="2" spans="1:12" x14ac:dyDescent="0.2">
      <c r="A2">
        <v>1</v>
      </c>
      <c r="B2" t="s">
        <v>0</v>
      </c>
      <c r="C2" t="s">
        <v>1</v>
      </c>
      <c r="D2" t="str">
        <f>HYPERLINK("https://browser.ihtsdotools.org/?perspective=full&amp;conceptId1=92101008&amp;edition=MAIN/SNOMEDCT-US/2020-03-01&amp;release=&amp;languages=en","92101008")</f>
        <v>92101008</v>
      </c>
      <c r="E2" t="str">
        <f>HYPERLINK("https://browser.ihtsdotools.org/?perspective=full&amp;conceptId1=92484008&amp;edition=MAIN/SNOMEDCT-US/2020-03-01&amp;release=&amp;languages=en","92484008")</f>
        <v>92484008</v>
      </c>
      <c r="F2" t="s">
        <v>2</v>
      </c>
      <c r="G2" t="s">
        <v>3</v>
      </c>
      <c r="H2" t="s">
        <v>4</v>
      </c>
      <c r="I2" t="s">
        <v>5</v>
      </c>
    </row>
    <row r="3" spans="1:12" x14ac:dyDescent="0.2">
      <c r="A3">
        <v>2</v>
      </c>
      <c r="B3" t="s">
        <v>6</v>
      </c>
      <c r="C3" t="s">
        <v>7</v>
      </c>
      <c r="D3" t="str">
        <f>HYPERLINK("https://browser.ihtsdotools.org/?perspective=full&amp;conceptId1=435161000124103&amp;edition=MAIN/SNOMEDCT-US/2020-03-01&amp;release=&amp;languages=en","435161000124103")</f>
        <v>435161000124103</v>
      </c>
      <c r="E3" t="str">
        <f>HYPERLINK("https://browser.ihtsdotools.org/?perspective=full&amp;conceptId1=435131000124107&amp;edition=MAIN/SNOMEDCT-US/2020-03-01&amp;release=&amp;languages=en","435131000124107")</f>
        <v>435131000124107</v>
      </c>
      <c r="F3" t="s">
        <v>2</v>
      </c>
      <c r="G3" t="s">
        <v>8</v>
      </c>
      <c r="H3" t="s">
        <v>9</v>
      </c>
      <c r="I3" t="s">
        <v>10</v>
      </c>
    </row>
    <row r="4" spans="1:12" x14ac:dyDescent="0.2">
      <c r="A4">
        <v>3</v>
      </c>
      <c r="B4" t="s">
        <v>11</v>
      </c>
      <c r="C4" t="s">
        <v>12</v>
      </c>
      <c r="D4" t="str">
        <f>HYPERLINK("https://browser.ihtsdotools.org/?perspective=full&amp;conceptId1=699050007&amp;edition=MAIN/SNOMEDCT-US/2020-03-01&amp;release=&amp;languages=en","699050007")</f>
        <v>699050007</v>
      </c>
      <c r="E4" t="str">
        <f>HYPERLINK("https://browser.ihtsdotools.org/?perspective=full&amp;conceptId1=59771005&amp;edition=MAIN/SNOMEDCT-US/2020-03-01&amp;release=&amp;languages=en","59771005")</f>
        <v>59771005</v>
      </c>
      <c r="F4" t="s">
        <v>2</v>
      </c>
      <c r="G4" t="s">
        <v>13</v>
      </c>
      <c r="H4" t="s">
        <v>9</v>
      </c>
      <c r="I4" t="s">
        <v>10</v>
      </c>
    </row>
    <row r="5" spans="1:12" x14ac:dyDescent="0.2">
      <c r="A5">
        <v>4</v>
      </c>
      <c r="B5" t="s">
        <v>14</v>
      </c>
      <c r="C5" t="s">
        <v>15</v>
      </c>
      <c r="D5" t="str">
        <f>HYPERLINK("https://browser.ihtsdotools.org/?perspective=full&amp;conceptId1=1078181000119105&amp;edition=MAIN/SNOMEDCT-US/2020-03-01&amp;release=&amp;languages=en","1078181000119105")</f>
        <v>1078181000119105</v>
      </c>
      <c r="E5" t="str">
        <f>HYPERLINK("https://browser.ihtsdotools.org/?perspective=full&amp;conceptId1=15669801000119102&amp;edition=MAIN/SNOMEDCT-US/2020-03-01&amp;release=&amp;languages=en","15669801000119102")</f>
        <v>15669801000119102</v>
      </c>
      <c r="F5" t="s">
        <v>2</v>
      </c>
      <c r="G5" t="s">
        <v>16</v>
      </c>
      <c r="H5" t="s">
        <v>17</v>
      </c>
      <c r="I5" t="s">
        <v>18</v>
      </c>
    </row>
    <row r="6" spans="1:12" x14ac:dyDescent="0.2">
      <c r="A6">
        <v>5</v>
      </c>
      <c r="B6" t="s">
        <v>19</v>
      </c>
      <c r="C6" t="s">
        <v>20</v>
      </c>
      <c r="D6" t="str">
        <f>HYPERLINK("https://browser.ihtsdotools.org/?perspective=full&amp;conceptId1=124412009&amp;edition=MAIN/SNOMEDCT-US/2020-03-01&amp;release=&amp;languages=en","124412009")</f>
        <v>124412009</v>
      </c>
      <c r="E6" t="str">
        <f>HYPERLINK("https://browser.ihtsdotools.org/?perspective=full&amp;conceptId1=124410001&amp;edition=MAIN/SNOMEDCT-US/2020-03-01&amp;release=&amp;languages=en","124410001")</f>
        <v>124410001</v>
      </c>
      <c r="F6" t="s">
        <v>2</v>
      </c>
      <c r="G6" t="s">
        <v>21</v>
      </c>
      <c r="H6" t="s">
        <v>17</v>
      </c>
      <c r="I6" t="s">
        <v>22</v>
      </c>
    </row>
    <row r="7" spans="1:12" x14ac:dyDescent="0.2">
      <c r="A7">
        <v>6</v>
      </c>
      <c r="B7" t="s">
        <v>23</v>
      </c>
      <c r="C7" t="s">
        <v>24</v>
      </c>
      <c r="D7" t="str">
        <f>HYPERLINK("https://browser.ihtsdotools.org/?perspective=full&amp;conceptId1=33838003&amp;edition=MAIN/SNOMEDCT-US/2020-03-01&amp;release=&amp;languages=en","33838003")</f>
        <v>33838003</v>
      </c>
      <c r="E7" t="str">
        <f>HYPERLINK("https://browser.ihtsdotools.org/?perspective=full&amp;conceptId1=762275008&amp;edition=MAIN/SNOMEDCT-US/2020-03-01&amp;release=&amp;languages=en","762275008")</f>
        <v>762275008</v>
      </c>
      <c r="F7" t="s">
        <v>2</v>
      </c>
      <c r="G7" t="s">
        <v>25</v>
      </c>
      <c r="H7" t="s">
        <v>17</v>
      </c>
      <c r="I7" t="s">
        <v>26</v>
      </c>
    </row>
    <row r="8" spans="1:12" x14ac:dyDescent="0.2">
      <c r="A8">
        <v>7</v>
      </c>
      <c r="B8" t="s">
        <v>27</v>
      </c>
      <c r="C8" t="s">
        <v>28</v>
      </c>
      <c r="D8" t="str">
        <f>HYPERLINK("https://browser.ihtsdotools.org/?perspective=full&amp;conceptId1=127229000&amp;edition=MAIN/SNOMEDCT-US/2020-03-01&amp;release=&amp;languages=en","127229000")</f>
        <v>127229000</v>
      </c>
      <c r="E8" t="str">
        <f>HYPERLINK("https://browser.ihtsdotools.org/?perspective=full&amp;conceptId1=127227003&amp;edition=MAIN/SNOMEDCT-US/2020-03-01&amp;release=&amp;languages=en","127227003")</f>
        <v>127227003</v>
      </c>
      <c r="F8" t="s">
        <v>2</v>
      </c>
      <c r="G8" t="s">
        <v>29</v>
      </c>
      <c r="H8" t="s">
        <v>30</v>
      </c>
      <c r="I8" t="s">
        <v>31</v>
      </c>
    </row>
    <row r="9" spans="1:12" x14ac:dyDescent="0.2">
      <c r="A9">
        <v>8</v>
      </c>
      <c r="B9" t="s">
        <v>32</v>
      </c>
      <c r="C9" t="s">
        <v>33</v>
      </c>
      <c r="D9" t="str">
        <f>HYPERLINK("https://browser.ihtsdotools.org/?perspective=full&amp;conceptId1=16594005&amp;edition=MAIN/SNOMEDCT-US/2020-03-01&amp;release=&amp;languages=en","16594005")</f>
        <v>16594005</v>
      </c>
      <c r="E9" t="str">
        <f>HYPERLINK("https://browser.ihtsdotools.org/?perspective=full&amp;conceptId1=7127005&amp;edition=MAIN/SNOMEDCT-US/2020-03-01&amp;release=&amp;languages=en","7127005")</f>
        <v>7127005</v>
      </c>
      <c r="F9" t="s">
        <v>2</v>
      </c>
      <c r="G9" t="s">
        <v>34</v>
      </c>
      <c r="H9" t="s">
        <v>17</v>
      </c>
      <c r="I9" t="s">
        <v>35</v>
      </c>
    </row>
    <row r="10" spans="1:12" x14ac:dyDescent="0.2">
      <c r="A10">
        <v>9</v>
      </c>
      <c r="B10" t="s">
        <v>36</v>
      </c>
      <c r="C10" t="s">
        <v>37</v>
      </c>
      <c r="D10" t="str">
        <f>HYPERLINK("https://browser.ihtsdotools.org/?perspective=full&amp;conceptId1=9802006&amp;edition=MAIN/SNOMEDCT-US/2020-03-01&amp;release=&amp;languages=en","9802006")</f>
        <v>9802006</v>
      </c>
      <c r="E10" t="str">
        <f>HYPERLINK("https://browser.ihtsdotools.org/?perspective=full&amp;conceptId1=49435000&amp;edition=MAIN/SNOMEDCT-US/2020-03-01&amp;release=&amp;languages=en","49435000")</f>
        <v>49435000</v>
      </c>
      <c r="F10" t="s">
        <v>38</v>
      </c>
      <c r="H10" t="s">
        <v>17</v>
      </c>
      <c r="I10" t="s">
        <v>39</v>
      </c>
    </row>
    <row r="11" spans="1:12" x14ac:dyDescent="0.2">
      <c r="A11">
        <v>10</v>
      </c>
      <c r="B11" t="s">
        <v>40</v>
      </c>
      <c r="C11" t="s">
        <v>41</v>
      </c>
      <c r="D11" t="str">
        <f>HYPERLINK("https://browser.ihtsdotools.org/?perspective=full&amp;conceptId1=283061002&amp;edition=MAIN/SNOMEDCT-US/2020-03-01&amp;release=&amp;languages=en","283061002")</f>
        <v>283061002</v>
      </c>
      <c r="E11" t="str">
        <f>HYPERLINK("https://browser.ihtsdotools.org/?perspective=full&amp;conceptId1=283038004&amp;edition=MAIN/SNOMEDCT-US/2020-03-01&amp;release=&amp;languages=en","283038004")</f>
        <v>283038004</v>
      </c>
      <c r="F11" t="s">
        <v>38</v>
      </c>
      <c r="H11" t="s">
        <v>17</v>
      </c>
      <c r="I11" t="s">
        <v>42</v>
      </c>
    </row>
    <row r="12" spans="1:12" x14ac:dyDescent="0.2">
      <c r="A12">
        <v>11</v>
      </c>
      <c r="B12" t="s">
        <v>43</v>
      </c>
      <c r="C12" t="s">
        <v>44</v>
      </c>
      <c r="D12" t="str">
        <f>HYPERLINK("https://browser.ihtsdotools.org/?perspective=full&amp;conceptId1=10632231000119100&amp;edition=MAIN/SNOMEDCT-US/2020-03-01&amp;release=&amp;languages=en","10632231000119100")</f>
        <v>10632231000119100</v>
      </c>
      <c r="E12" t="str">
        <f>HYPERLINK("https://browser.ihtsdotools.org/?perspective=full&amp;conceptId1=10632071000119107&amp;edition=MAIN/SNOMEDCT-US/2020-03-01&amp;release=&amp;languages=en","10632071000119107")</f>
        <v>10632071000119107</v>
      </c>
      <c r="F12" t="s">
        <v>2</v>
      </c>
      <c r="G12" t="s">
        <v>590</v>
      </c>
      <c r="H12" t="s">
        <v>45</v>
      </c>
      <c r="I12" t="s">
        <v>46</v>
      </c>
    </row>
    <row r="13" spans="1:12" x14ac:dyDescent="0.2">
      <c r="A13">
        <v>12</v>
      </c>
      <c r="B13" t="s">
        <v>47</v>
      </c>
      <c r="C13" t="s">
        <v>48</v>
      </c>
      <c r="D13" t="str">
        <f>HYPERLINK("https://browser.ihtsdotools.org/?perspective=full&amp;conceptId1=723880004&amp;edition=MAIN/SNOMEDCT-US/2020-03-01&amp;release=&amp;languages=en","723880004")</f>
        <v>723880004</v>
      </c>
      <c r="E13" t="str">
        <f>HYPERLINK("https://browser.ihtsdotools.org/?perspective=full&amp;conceptId1=129134004&amp;edition=MAIN/SNOMEDCT-US/2020-03-01&amp;release=&amp;languages=en","129134004")</f>
        <v>129134004</v>
      </c>
      <c r="F13" t="s">
        <v>38</v>
      </c>
      <c r="H13" t="s">
        <v>49</v>
      </c>
      <c r="I13" t="s">
        <v>50</v>
      </c>
    </row>
    <row r="14" spans="1:12" x14ac:dyDescent="0.2">
      <c r="A14">
        <v>13</v>
      </c>
      <c r="B14" t="s">
        <v>51</v>
      </c>
      <c r="C14" t="s">
        <v>52</v>
      </c>
      <c r="D14" t="str">
        <f>HYPERLINK("https://browser.ihtsdotools.org/?perspective=full&amp;conceptId1=216519004&amp;edition=MAIN/SNOMEDCT-US/2020-03-01&amp;release=&amp;languages=en","216519004")</f>
        <v>216519004</v>
      </c>
      <c r="E14" t="str">
        <f>HYPERLINK("https://browser.ihtsdotools.org/?perspective=full&amp;conceptId1=48534006&amp;edition=MAIN/SNOMEDCT-US/2020-03-01&amp;release=&amp;languages=en","48534006")</f>
        <v>48534006</v>
      </c>
      <c r="F14" t="s">
        <v>38</v>
      </c>
      <c r="H14" t="s">
        <v>53</v>
      </c>
      <c r="I14" t="s">
        <v>54</v>
      </c>
    </row>
    <row r="15" spans="1:12" x14ac:dyDescent="0.2">
      <c r="A15">
        <v>14</v>
      </c>
      <c r="B15" t="s">
        <v>55</v>
      </c>
      <c r="C15" t="s">
        <v>56</v>
      </c>
      <c r="D15" t="str">
        <f>HYPERLINK("https://browser.ihtsdotools.org/?perspective=full&amp;conceptId1=1075121000119103&amp;edition=MAIN/SNOMEDCT-US/2020-03-01&amp;release=&amp;languages=en","1075121000119103")</f>
        <v>1075121000119103</v>
      </c>
      <c r="E15" t="str">
        <f>HYPERLINK("https://browser.ihtsdotools.org/?perspective=full&amp;conceptId1=774124003&amp;edition=MAIN/SNOMEDCT-US/2020-03-01&amp;release=&amp;languages=en","774124003")</f>
        <v>774124003</v>
      </c>
      <c r="F15" t="s">
        <v>38</v>
      </c>
      <c r="H15" t="s">
        <v>17</v>
      </c>
      <c r="I15" t="s">
        <v>57</v>
      </c>
    </row>
    <row r="16" spans="1:12" x14ac:dyDescent="0.2">
      <c r="A16">
        <v>15</v>
      </c>
      <c r="B16" t="s">
        <v>58</v>
      </c>
      <c r="C16" t="s">
        <v>59</v>
      </c>
      <c r="D16" t="str">
        <f>HYPERLINK("https://browser.ihtsdotools.org/?perspective=full&amp;conceptId1=342181000119107&amp;edition=MAIN/SNOMEDCT-US/2020-03-01&amp;release=&amp;languages=en","342181000119107")</f>
        <v>342181000119107</v>
      </c>
      <c r="E16" t="str">
        <f>HYPERLINK("https://browser.ihtsdotools.org/?perspective=full&amp;conceptId1=127343008&amp;edition=MAIN/SNOMEDCT-US/2020-03-01&amp;release=&amp;languages=en","127343008")</f>
        <v>127343008</v>
      </c>
      <c r="F16" t="s">
        <v>38</v>
      </c>
      <c r="H16" t="s">
        <v>60</v>
      </c>
      <c r="I16" t="s">
        <v>61</v>
      </c>
      <c r="J16" t="s">
        <v>62</v>
      </c>
    </row>
    <row r="17" spans="1:10" x14ac:dyDescent="0.2">
      <c r="A17">
        <v>16</v>
      </c>
      <c r="B17" t="s">
        <v>63</v>
      </c>
      <c r="C17" t="s">
        <v>59</v>
      </c>
      <c r="D17" t="str">
        <f>HYPERLINK("https://browser.ihtsdotools.org/?perspective=full&amp;conceptId1=336571000119100&amp;edition=MAIN/SNOMEDCT-US/2020-03-01&amp;release=&amp;languages=en","336571000119100")</f>
        <v>336571000119100</v>
      </c>
      <c r="E17" t="str">
        <f>HYPERLINK("https://browser.ihtsdotools.org/?perspective=full&amp;conceptId1=127343008&amp;edition=MAIN/SNOMEDCT-US/2020-03-01&amp;release=&amp;languages=en","127343008")</f>
        <v>127343008</v>
      </c>
      <c r="F17" t="s">
        <v>38</v>
      </c>
      <c r="H17" t="s">
        <v>60</v>
      </c>
      <c r="I17" t="s">
        <v>61</v>
      </c>
      <c r="J17" t="s">
        <v>64</v>
      </c>
    </row>
    <row r="18" spans="1:10" x14ac:dyDescent="0.2">
      <c r="A18">
        <v>17</v>
      </c>
      <c r="B18" t="s">
        <v>65</v>
      </c>
      <c r="C18" t="s">
        <v>66</v>
      </c>
      <c r="D18" t="str">
        <f>HYPERLINK("https://browser.ihtsdotools.org/?perspective=full&amp;conceptId1=132601000119102&amp;edition=MAIN/SNOMEDCT-US/2020-03-01&amp;release=&amp;languages=en","132601000119102")</f>
        <v>132601000119102</v>
      </c>
      <c r="E18" t="str">
        <f>HYPERLINK("https://browser.ihtsdotools.org/?perspective=full&amp;conceptId1=128055005&amp;edition=MAIN/SNOMEDCT-US/2020-03-01&amp;release=&amp;languages=en","128055005")</f>
        <v>128055005</v>
      </c>
      <c r="F18" t="s">
        <v>38</v>
      </c>
      <c r="H18" t="s">
        <v>17</v>
      </c>
      <c r="I18" t="s">
        <v>67</v>
      </c>
    </row>
    <row r="19" spans="1:10" x14ac:dyDescent="0.2">
      <c r="A19">
        <v>18</v>
      </c>
      <c r="B19" t="s">
        <v>68</v>
      </c>
      <c r="C19" t="s">
        <v>69</v>
      </c>
      <c r="D19" t="str">
        <f>HYPERLINK("https://browser.ihtsdotools.org/?perspective=full&amp;conceptId1=66673003&amp;edition=MAIN/SNOMEDCT-US/2020-03-01&amp;release=&amp;languages=en","66673003")</f>
        <v>66673003</v>
      </c>
      <c r="E19" t="str">
        <f>HYPERLINK("https://browser.ihtsdotools.org/?perspective=full&amp;conceptId1=47064007&amp;edition=MAIN/SNOMEDCT-US/2020-03-01&amp;release=&amp;languages=en","47064007")</f>
        <v>47064007</v>
      </c>
      <c r="F19" t="s">
        <v>38</v>
      </c>
      <c r="H19" t="s">
        <v>17</v>
      </c>
      <c r="I19" t="s">
        <v>70</v>
      </c>
    </row>
    <row r="20" spans="1:10" x14ac:dyDescent="0.2">
      <c r="A20">
        <v>19</v>
      </c>
      <c r="B20" t="s">
        <v>71</v>
      </c>
      <c r="C20" t="s">
        <v>72</v>
      </c>
      <c r="D20" t="str">
        <f>HYPERLINK("https://browser.ihtsdotools.org/?perspective=full&amp;conceptId1=92416000&amp;edition=MAIN/SNOMEDCT-US/2020-03-01&amp;release=&amp;languages=en","92416000")</f>
        <v>92416000</v>
      </c>
      <c r="E20" t="str">
        <f>HYPERLINK("https://browser.ihtsdotools.org/?perspective=full&amp;conceptId1=127240008&amp;edition=MAIN/SNOMEDCT-US/2020-03-01&amp;release=&amp;languages=en","127240008")</f>
        <v>127240008</v>
      </c>
      <c r="F20" t="s">
        <v>38</v>
      </c>
      <c r="H20" t="s">
        <v>4</v>
      </c>
      <c r="I20" t="s">
        <v>73</v>
      </c>
    </row>
    <row r="21" spans="1:10" x14ac:dyDescent="0.2">
      <c r="A21">
        <v>20</v>
      </c>
      <c r="B21" t="s">
        <v>74</v>
      </c>
      <c r="C21" t="s">
        <v>75</v>
      </c>
      <c r="D21" t="str">
        <f>HYPERLINK("https://browser.ihtsdotools.org/?perspective=full&amp;conceptId1=447799001&amp;edition=MAIN/SNOMEDCT-US/2020-03-01&amp;release=&amp;languages=en","447799001")</f>
        <v>447799001</v>
      </c>
      <c r="E21" t="str">
        <f>HYPERLINK("https://browser.ihtsdotools.org/?perspective=full&amp;conceptId1=255106001&amp;edition=MAIN/SNOMEDCT-US/2020-03-01&amp;release=&amp;languages=en","255106001")</f>
        <v>255106001</v>
      </c>
      <c r="F21" t="s">
        <v>38</v>
      </c>
      <c r="H21" t="s">
        <v>76</v>
      </c>
      <c r="I21" t="s">
        <v>77</v>
      </c>
    </row>
    <row r="22" spans="1:10" x14ac:dyDescent="0.2">
      <c r="A22">
        <v>21</v>
      </c>
      <c r="B22" t="s">
        <v>78</v>
      </c>
      <c r="C22" t="s">
        <v>79</v>
      </c>
      <c r="D22" t="str">
        <f>HYPERLINK("https://browser.ihtsdotools.org/?perspective=full&amp;conceptId1=30888005&amp;edition=MAIN/SNOMEDCT-US/2020-03-01&amp;release=&amp;languages=en","30888005")</f>
        <v>30888005</v>
      </c>
      <c r="E22" t="str">
        <f>HYPERLINK("https://browser.ihtsdotools.org/?perspective=full&amp;conceptId1=76362004&amp;edition=MAIN/SNOMEDCT-US/2020-03-01&amp;release=&amp;languages=en","76362004")</f>
        <v>76362004</v>
      </c>
      <c r="F22" t="s">
        <v>38</v>
      </c>
      <c r="H22" t="s">
        <v>9</v>
      </c>
      <c r="I22" t="s">
        <v>80</v>
      </c>
    </row>
    <row r="23" spans="1:10" x14ac:dyDescent="0.2">
      <c r="A23">
        <v>22</v>
      </c>
      <c r="B23" t="s">
        <v>81</v>
      </c>
      <c r="C23" t="s">
        <v>82</v>
      </c>
      <c r="D23" t="str">
        <f>HYPERLINK("https://browser.ihtsdotools.org/?perspective=full&amp;conceptId1=35505001&amp;edition=MAIN/SNOMEDCT-US/2020-03-01&amp;release=&amp;languages=en","35505001")</f>
        <v>35505001</v>
      </c>
      <c r="E23" t="str">
        <f>HYPERLINK("https://browser.ihtsdotools.org/?perspective=full&amp;conceptId1=34825001&amp;edition=MAIN/SNOMEDCT-US/2020-03-01&amp;release=&amp;languages=en","34825001")</f>
        <v>34825001</v>
      </c>
      <c r="F23" t="s">
        <v>38</v>
      </c>
      <c r="H23" t="s">
        <v>9</v>
      </c>
      <c r="I23" t="s">
        <v>80</v>
      </c>
    </row>
    <row r="24" spans="1:10" x14ac:dyDescent="0.2">
      <c r="A24">
        <v>23</v>
      </c>
      <c r="B24" t="s">
        <v>83</v>
      </c>
      <c r="C24" t="s">
        <v>84</v>
      </c>
      <c r="D24" t="str">
        <f>HYPERLINK("https://browser.ihtsdotools.org/?perspective=full&amp;conceptId1=38119007&amp;edition=MAIN/SNOMEDCT-US/2020-03-01&amp;release=&amp;languages=en","38119007")</f>
        <v>38119007</v>
      </c>
      <c r="E24" t="str">
        <f>HYPERLINK("https://browser.ihtsdotools.org/?perspective=full&amp;conceptId1=28388008&amp;edition=MAIN/SNOMEDCT-US/2020-03-01&amp;release=&amp;languages=en","28388008")</f>
        <v>28388008</v>
      </c>
      <c r="F24" t="s">
        <v>38</v>
      </c>
      <c r="H24" t="s">
        <v>9</v>
      </c>
      <c r="I24" t="s">
        <v>80</v>
      </c>
    </row>
    <row r="25" spans="1:10" x14ac:dyDescent="0.2">
      <c r="A25">
        <v>24</v>
      </c>
      <c r="B25" t="s">
        <v>85</v>
      </c>
      <c r="C25" t="s">
        <v>86</v>
      </c>
      <c r="D25" t="str">
        <f>HYPERLINK("https://browser.ihtsdotools.org/?perspective=full&amp;conceptId1=48689002&amp;edition=MAIN/SNOMEDCT-US/2020-03-01&amp;release=&amp;languages=en","48689002")</f>
        <v>48689002</v>
      </c>
      <c r="E25" t="str">
        <f>HYPERLINK("https://browser.ihtsdotools.org/?perspective=full&amp;conceptId1=284220000&amp;edition=MAIN/SNOMEDCT-US/2020-03-01&amp;release=&amp;languages=en","284220000")</f>
        <v>284220000</v>
      </c>
      <c r="F25" t="s">
        <v>38</v>
      </c>
      <c r="H25" t="s">
        <v>4</v>
      </c>
      <c r="I25" t="s">
        <v>87</v>
      </c>
    </row>
    <row r="26" spans="1:10" x14ac:dyDescent="0.2">
      <c r="A26">
        <v>25</v>
      </c>
      <c r="B26" t="s">
        <v>88</v>
      </c>
      <c r="C26" t="s">
        <v>89</v>
      </c>
      <c r="D26" t="str">
        <f>HYPERLINK("https://browser.ihtsdotools.org/?perspective=full&amp;conceptId1=309021000119108&amp;edition=MAIN/SNOMEDCT-US/2020-03-01&amp;release=&amp;languages=en","309021000119108")</f>
        <v>309021000119108</v>
      </c>
      <c r="E26" t="str">
        <f>HYPERLINK("https://browser.ihtsdotools.org/?perspective=full&amp;conceptId1=15675001000119104&amp;edition=MAIN/SNOMEDCT-US/2020-03-01&amp;release=&amp;languages=en","15675001000119104")</f>
        <v>15675001000119104</v>
      </c>
      <c r="F26" t="s">
        <v>38</v>
      </c>
      <c r="H26" t="s">
        <v>17</v>
      </c>
      <c r="I26" t="s">
        <v>90</v>
      </c>
    </row>
    <row r="27" spans="1:10" x14ac:dyDescent="0.2">
      <c r="A27">
        <v>26</v>
      </c>
      <c r="B27" t="s">
        <v>91</v>
      </c>
      <c r="C27" t="s">
        <v>92</v>
      </c>
      <c r="D27" t="str">
        <f>HYPERLINK("https://browser.ihtsdotools.org/?perspective=full&amp;conceptId1=15672001000119109&amp;edition=MAIN/SNOMEDCT-US/2020-03-01&amp;release=&amp;languages=en","15672001000119109")</f>
        <v>15672001000119109</v>
      </c>
      <c r="E27" t="str">
        <f>HYPERLINK("https://browser.ihtsdotools.org/?perspective=full&amp;conceptId1=15668801000119105&amp;edition=MAIN/SNOMEDCT-US/2020-03-01&amp;release=&amp;languages=en","15668801000119105")</f>
        <v>15668801000119105</v>
      </c>
      <c r="F27" t="s">
        <v>38</v>
      </c>
      <c r="H27" t="s">
        <v>17</v>
      </c>
      <c r="I27" t="s">
        <v>93</v>
      </c>
    </row>
    <row r="28" spans="1:10" x14ac:dyDescent="0.2">
      <c r="A28">
        <v>27</v>
      </c>
      <c r="B28" t="s">
        <v>94</v>
      </c>
      <c r="C28" t="s">
        <v>95</v>
      </c>
      <c r="D28" t="str">
        <f>HYPERLINK("https://browser.ihtsdotools.org/?perspective=full&amp;conceptId1=52190008&amp;edition=MAIN/SNOMEDCT-US/2020-03-01&amp;release=&amp;languages=en","52190008")</f>
        <v>52190008</v>
      </c>
      <c r="E28" t="str">
        <f>HYPERLINK("https://browser.ihtsdotools.org/?perspective=full&amp;conceptId1=128936008&amp;edition=MAIN/SNOMEDCT-US/2020-03-01&amp;release=&amp;languages=en","128936008")</f>
        <v>128936008</v>
      </c>
      <c r="F28" t="s">
        <v>38</v>
      </c>
      <c r="H28" t="s">
        <v>4</v>
      </c>
      <c r="I28" t="s">
        <v>96</v>
      </c>
      <c r="J28" t="s">
        <v>97</v>
      </c>
    </row>
    <row r="29" spans="1:10" x14ac:dyDescent="0.2">
      <c r="A29">
        <v>28</v>
      </c>
      <c r="B29" t="s">
        <v>98</v>
      </c>
      <c r="C29" t="s">
        <v>99</v>
      </c>
      <c r="D29" t="str">
        <f>HYPERLINK("https://browser.ihtsdotools.org/?perspective=full&amp;conceptId1=230732009&amp;edition=MAIN/SNOMEDCT-US/2020-03-01&amp;release=&amp;languages=en","230732009")</f>
        <v>230732009</v>
      </c>
      <c r="E29" t="str">
        <f>HYPERLINK("https://browser.ihtsdotools.org/?perspective=full&amp;conceptId1=230731002&amp;edition=MAIN/SNOMEDCT-US/2020-03-01&amp;release=&amp;languages=en","230731002")</f>
        <v>230731002</v>
      </c>
      <c r="F29" t="s">
        <v>38</v>
      </c>
      <c r="H29" t="s">
        <v>17</v>
      </c>
      <c r="I29" t="s">
        <v>100</v>
      </c>
    </row>
    <row r="30" spans="1:10" x14ac:dyDescent="0.2">
      <c r="A30">
        <v>29</v>
      </c>
      <c r="B30" t="s">
        <v>101</v>
      </c>
      <c r="C30" t="s">
        <v>102</v>
      </c>
      <c r="D30" t="str">
        <f>HYPERLINK("https://browser.ihtsdotools.org/?perspective=full&amp;conceptId1=15711481000119102&amp;edition=MAIN/SNOMEDCT-US/2020-03-01&amp;release=&amp;languages=en","15711481000119102")</f>
        <v>15711481000119102</v>
      </c>
      <c r="E30" t="str">
        <f>HYPERLINK("https://browser.ihtsdotools.org/?perspective=full&amp;conceptId1=132171000119104&amp;edition=MAIN/SNOMEDCT-US/2020-03-01&amp;release=&amp;languages=en","132171000119104")</f>
        <v>132171000119104</v>
      </c>
      <c r="F30" t="s">
        <v>38</v>
      </c>
      <c r="H30" t="s">
        <v>30</v>
      </c>
      <c r="I30" t="s">
        <v>103</v>
      </c>
    </row>
    <row r="31" spans="1:10" x14ac:dyDescent="0.2">
      <c r="A31">
        <v>30</v>
      </c>
      <c r="B31" t="s">
        <v>104</v>
      </c>
      <c r="C31" t="s">
        <v>105</v>
      </c>
      <c r="D31" t="str">
        <f>HYPERLINK("https://browser.ihtsdotools.org/?perspective=full&amp;conceptId1=76796008&amp;edition=MAIN/SNOMEDCT-US/2020-03-01&amp;release=&amp;languages=en","76796008")</f>
        <v>76796008</v>
      </c>
      <c r="E31" t="str">
        <f>HYPERLINK("https://browser.ihtsdotools.org/?perspective=full&amp;conceptId1=37442009&amp;edition=MAIN/SNOMEDCT-US/2020-03-01&amp;release=&amp;languages=en","37442009")</f>
        <v>37442009</v>
      </c>
      <c r="F31" t="s">
        <v>38</v>
      </c>
      <c r="H31" t="s">
        <v>53</v>
      </c>
      <c r="I31" t="s">
        <v>106</v>
      </c>
    </row>
    <row r="32" spans="1:10" x14ac:dyDescent="0.2">
      <c r="A32">
        <v>31</v>
      </c>
      <c r="B32" t="s">
        <v>107</v>
      </c>
      <c r="C32" t="s">
        <v>108</v>
      </c>
      <c r="D32" t="str">
        <f>HYPERLINK("https://browser.ihtsdotools.org/?perspective=full&amp;conceptId1=1091111000119102&amp;edition=MAIN/SNOMEDCT-US/2020-03-01&amp;release=&amp;languages=en","1091111000119102")</f>
        <v>1091111000119102</v>
      </c>
      <c r="E32" t="str">
        <f>HYPERLINK("https://browser.ihtsdotools.org/?perspective=full&amp;conceptId1=1091131000119107&amp;edition=MAIN/SNOMEDCT-US/2020-03-01&amp;release=&amp;languages=en","1091131000119107")</f>
        <v>1091131000119107</v>
      </c>
      <c r="F32" t="s">
        <v>38</v>
      </c>
      <c r="H32" t="s">
        <v>9</v>
      </c>
      <c r="I32" t="s">
        <v>109</v>
      </c>
    </row>
    <row r="33" spans="1:10" x14ac:dyDescent="0.2">
      <c r="A33">
        <v>32</v>
      </c>
      <c r="B33" t="s">
        <v>110</v>
      </c>
      <c r="C33" t="s">
        <v>111</v>
      </c>
      <c r="D33" t="str">
        <f>HYPERLINK("https://browser.ihtsdotools.org/?perspective=full&amp;conceptId1=1077551000119106&amp;edition=MAIN/SNOMEDCT-US/2020-03-01&amp;release=&amp;languages=en","1077551000119106")</f>
        <v>1077551000119106</v>
      </c>
      <c r="E33" t="str">
        <f>HYPERLINK("https://browser.ihtsdotools.org/?perspective=full&amp;conceptId1=240149006&amp;edition=MAIN/SNOMEDCT-US/2020-03-01&amp;release=&amp;languages=en","240149006")</f>
        <v>240149006</v>
      </c>
      <c r="F33" t="s">
        <v>38</v>
      </c>
      <c r="H33" t="s">
        <v>45</v>
      </c>
      <c r="I33" t="s">
        <v>112</v>
      </c>
    </row>
    <row r="34" spans="1:10" x14ac:dyDescent="0.2">
      <c r="A34">
        <v>33</v>
      </c>
      <c r="B34" t="s">
        <v>113</v>
      </c>
      <c r="C34" t="s">
        <v>114</v>
      </c>
      <c r="D34" t="str">
        <f>HYPERLINK("https://browser.ihtsdotools.org/?perspective=full&amp;conceptId1=1075021000119104&amp;edition=MAIN/SNOMEDCT-US/2020-03-01&amp;release=&amp;languages=en","1075021000119104")</f>
        <v>1075021000119104</v>
      </c>
      <c r="E34" t="str">
        <f>HYPERLINK("https://browser.ihtsdotools.org/?perspective=full&amp;conceptId1=16076171000119109&amp;edition=MAIN/SNOMEDCT-US/2020-03-01&amp;release=&amp;languages=en","16076171000119109")</f>
        <v>16076171000119109</v>
      </c>
      <c r="F34" t="s">
        <v>38</v>
      </c>
      <c r="H34" t="s">
        <v>17</v>
      </c>
      <c r="I34" t="s">
        <v>115</v>
      </c>
    </row>
    <row r="35" spans="1:10" x14ac:dyDescent="0.2">
      <c r="A35">
        <v>34</v>
      </c>
      <c r="B35" t="s">
        <v>116</v>
      </c>
      <c r="C35" t="s">
        <v>117</v>
      </c>
      <c r="D35" t="str">
        <f>HYPERLINK("https://browser.ihtsdotools.org/?perspective=full&amp;conceptId1=10925761000119109&amp;edition=MAIN/SNOMEDCT-US/2020-03-01&amp;release=&amp;languages=en","10925761000119109")</f>
        <v>10925761000119109</v>
      </c>
      <c r="E35" t="str">
        <f>HYPERLINK("https://browser.ihtsdotools.org/?perspective=full&amp;conceptId1=14430001000004102&amp;edition=MAIN/SNOMEDCT-US/2020-03-01&amp;release=&amp;languages=en","14430001000004102")</f>
        <v>14430001000004102</v>
      </c>
      <c r="F35" t="s">
        <v>38</v>
      </c>
      <c r="H35" t="s">
        <v>4</v>
      </c>
      <c r="I35" t="s">
        <v>118</v>
      </c>
    </row>
    <row r="36" spans="1:10" x14ac:dyDescent="0.2">
      <c r="A36">
        <v>35</v>
      </c>
      <c r="B36" t="s">
        <v>119</v>
      </c>
      <c r="C36" t="s">
        <v>120</v>
      </c>
      <c r="D36" t="str">
        <f>HYPERLINK("https://browser.ihtsdotools.org/?perspective=full&amp;conceptId1=704163004&amp;edition=MAIN/SNOMEDCT-US/2020-03-01&amp;release=&amp;languages=en","704163004")</f>
        <v>704163004</v>
      </c>
      <c r="E36" t="str">
        <f>HYPERLINK("https://browser.ihtsdotools.org/?perspective=full&amp;conceptId1=297131007&amp;edition=MAIN/SNOMEDCT-US/2020-03-01&amp;release=&amp;languages=en","297131007")</f>
        <v>297131007</v>
      </c>
      <c r="F36" t="s">
        <v>38</v>
      </c>
      <c r="H36" t="s">
        <v>30</v>
      </c>
      <c r="I36" t="s">
        <v>121</v>
      </c>
      <c r="J36" t="s">
        <v>122</v>
      </c>
    </row>
    <row r="37" spans="1:10" x14ac:dyDescent="0.2">
      <c r="A37">
        <v>36</v>
      </c>
      <c r="B37" t="s">
        <v>123</v>
      </c>
      <c r="C37" t="s">
        <v>124</v>
      </c>
      <c r="D37" t="str">
        <f>HYPERLINK("https://browser.ihtsdotools.org/?perspective=full&amp;conceptId1=28425007&amp;edition=MAIN/SNOMEDCT-US/2020-03-01&amp;release=&amp;languages=en","28425007")</f>
        <v>28425007</v>
      </c>
      <c r="E37" t="str">
        <f>HYPERLINK("https://browser.ihtsdotools.org/?perspective=full&amp;conceptId1=15724005&amp;edition=MAIN/SNOMEDCT-US/2020-03-01&amp;release=&amp;languages=en","15724005")</f>
        <v>15724005</v>
      </c>
      <c r="F37" t="s">
        <v>38</v>
      </c>
      <c r="H37" t="s">
        <v>4</v>
      </c>
      <c r="I37" t="s">
        <v>118</v>
      </c>
    </row>
    <row r="38" spans="1:10" x14ac:dyDescent="0.2">
      <c r="A38">
        <v>37</v>
      </c>
      <c r="B38" t="s">
        <v>125</v>
      </c>
      <c r="C38" t="s">
        <v>126</v>
      </c>
      <c r="D38" t="str">
        <f>HYPERLINK("https://browser.ihtsdotools.org/?perspective=full&amp;conceptId1=15932221000119105&amp;edition=MAIN/SNOMEDCT-US/2020-03-01&amp;release=&amp;languages=en","15932221000119105")</f>
        <v>15932221000119105</v>
      </c>
      <c r="E38" t="str">
        <f>HYPERLINK("https://browser.ihtsdotools.org/?perspective=full&amp;conceptId1=12017008&amp;edition=MAIN/SNOMEDCT-US/2020-03-01&amp;release=&amp;languages=en","12017008")</f>
        <v>12017008</v>
      </c>
      <c r="F38" t="s">
        <v>38</v>
      </c>
      <c r="H38" t="s">
        <v>30</v>
      </c>
      <c r="I38" t="s">
        <v>127</v>
      </c>
    </row>
    <row r="39" spans="1:10" x14ac:dyDescent="0.2">
      <c r="A39">
        <v>38</v>
      </c>
      <c r="B39" t="s">
        <v>128</v>
      </c>
      <c r="C39" t="s">
        <v>129</v>
      </c>
      <c r="D39" t="str">
        <f>HYPERLINK("https://browser.ihtsdotools.org/?perspective=full&amp;conceptId1=39987008&amp;edition=MAIN/SNOMEDCT-US/2020-03-01&amp;release=&amp;languages=en","39987008")</f>
        <v>39987008</v>
      </c>
      <c r="E39" t="str">
        <f>HYPERLINK("https://browser.ihtsdotools.org/?perspective=full&amp;conceptId1=91605000&amp;edition=MAIN/SNOMEDCT-US/2020-03-01&amp;release=&amp;languages=en","91605000")</f>
        <v>91605000</v>
      </c>
      <c r="F39" t="s">
        <v>38</v>
      </c>
      <c r="H39" t="s">
        <v>30</v>
      </c>
      <c r="I39" t="s">
        <v>130</v>
      </c>
    </row>
    <row r="40" spans="1:10" x14ac:dyDescent="0.2">
      <c r="A40">
        <v>39</v>
      </c>
      <c r="B40" t="s">
        <v>131</v>
      </c>
      <c r="C40" t="s">
        <v>132</v>
      </c>
      <c r="D40" t="str">
        <f>HYPERLINK("https://browser.ihtsdotools.org/?perspective=full&amp;conceptId1=110261002&amp;edition=MAIN/SNOMEDCT-US/2020-03-01&amp;release=&amp;languages=en","110261002")</f>
        <v>110261002</v>
      </c>
      <c r="E40" t="str">
        <f>HYPERLINK("https://browser.ihtsdotools.org/?perspective=full&amp;conceptId1=275489000&amp;edition=MAIN/SNOMEDCT-US/2020-03-01&amp;release=&amp;languages=en","275489000")</f>
        <v>275489000</v>
      </c>
      <c r="F40" t="s">
        <v>38</v>
      </c>
      <c r="H40" t="s">
        <v>17</v>
      </c>
      <c r="I40" t="s">
        <v>133</v>
      </c>
    </row>
    <row r="41" spans="1:10" x14ac:dyDescent="0.2">
      <c r="A41">
        <v>40</v>
      </c>
      <c r="B41" t="s">
        <v>134</v>
      </c>
      <c r="C41" t="s">
        <v>135</v>
      </c>
      <c r="D41" t="str">
        <f>HYPERLINK("https://browser.ihtsdotools.org/?perspective=full&amp;conceptId1=23287003&amp;edition=MAIN/SNOMEDCT-US/2020-03-01&amp;release=&amp;languages=en","23287003")</f>
        <v>23287003</v>
      </c>
      <c r="E41" t="str">
        <f>HYPERLINK("https://browser.ihtsdotools.org/?perspective=full&amp;conceptId1=262526004&amp;edition=MAIN/SNOMEDCT-US/2020-03-01&amp;release=&amp;languages=en","262526004")</f>
        <v>262526004</v>
      </c>
      <c r="F41" t="s">
        <v>38</v>
      </c>
      <c r="H41" t="s">
        <v>136</v>
      </c>
      <c r="I41" t="s">
        <v>137</v>
      </c>
      <c r="J41" t="s">
        <v>138</v>
      </c>
    </row>
    <row r="42" spans="1:10" x14ac:dyDescent="0.2">
      <c r="A42">
        <v>41</v>
      </c>
      <c r="B42" t="s">
        <v>139</v>
      </c>
      <c r="C42" t="s">
        <v>140</v>
      </c>
      <c r="D42" t="str">
        <f>HYPERLINK("https://browser.ihtsdotools.org/?perspective=full&amp;conceptId1=124481007&amp;edition=MAIN/SNOMEDCT-US/2020-03-01&amp;release=&amp;languages=en","124481007")</f>
        <v>124481007</v>
      </c>
      <c r="E42" t="str">
        <f>HYPERLINK("https://browser.ihtsdotools.org/?perspective=full&amp;conceptId1=124407008&amp;edition=MAIN/SNOMEDCT-US/2020-03-01&amp;release=&amp;languages=en","124407008")</f>
        <v>124407008</v>
      </c>
      <c r="F42" t="s">
        <v>38</v>
      </c>
      <c r="H42" t="s">
        <v>136</v>
      </c>
      <c r="I42" t="s">
        <v>141</v>
      </c>
    </row>
    <row r="43" spans="1:10" x14ac:dyDescent="0.2">
      <c r="A43">
        <v>42</v>
      </c>
      <c r="B43" t="s">
        <v>142</v>
      </c>
      <c r="C43" t="s">
        <v>143</v>
      </c>
      <c r="D43" t="str">
        <f>HYPERLINK("https://browser.ihtsdotools.org/?perspective=full&amp;conceptId1=124363008&amp;edition=MAIN/SNOMEDCT-US/2020-03-01&amp;release=&amp;languages=en","124363008")</f>
        <v>124363008</v>
      </c>
      <c r="E43" t="str">
        <f>HYPERLINK("https://browser.ihtsdotools.org/?perspective=full&amp;conceptId1=124402002&amp;edition=MAIN/SNOMEDCT-US/2020-03-01&amp;release=&amp;languages=en","124402002")</f>
        <v>124402002</v>
      </c>
      <c r="F43" t="s">
        <v>38</v>
      </c>
      <c r="H43" t="s">
        <v>17</v>
      </c>
      <c r="I43" t="s">
        <v>144</v>
      </c>
    </row>
    <row r="44" spans="1:10" x14ac:dyDescent="0.2">
      <c r="A44">
        <v>43</v>
      </c>
      <c r="B44" t="s">
        <v>145</v>
      </c>
      <c r="C44" t="s">
        <v>146</v>
      </c>
      <c r="D44" t="str">
        <f>HYPERLINK("https://browser.ihtsdotools.org/?perspective=full&amp;conceptId1=124600004&amp;edition=MAIN/SNOMEDCT-US/2020-03-01&amp;release=&amp;languages=en","124600004")</f>
        <v>124600004</v>
      </c>
      <c r="E44" t="str">
        <f>HYPERLINK("https://browser.ihtsdotools.org/?perspective=full&amp;conceptId1=124592006&amp;edition=MAIN/SNOMEDCT-US/2020-03-01&amp;release=&amp;languages=en","124592006")</f>
        <v>124592006</v>
      </c>
      <c r="F44" t="s">
        <v>38</v>
      </c>
      <c r="H44" t="s">
        <v>136</v>
      </c>
      <c r="I44" t="s">
        <v>147</v>
      </c>
    </row>
    <row r="45" spans="1:10" x14ac:dyDescent="0.2">
      <c r="A45">
        <v>44</v>
      </c>
      <c r="B45" t="s">
        <v>148</v>
      </c>
      <c r="C45" t="s">
        <v>140</v>
      </c>
      <c r="D45" t="str">
        <f>HYPERLINK("https://browser.ihtsdotools.org/?perspective=full&amp;conceptId1=124534009&amp;edition=MAIN/SNOMEDCT-US/2020-03-01&amp;release=&amp;languages=en","124534009")</f>
        <v>124534009</v>
      </c>
      <c r="E45" t="str">
        <f>HYPERLINK("https://browser.ihtsdotools.org/?perspective=full&amp;conceptId1=124407008&amp;edition=MAIN/SNOMEDCT-US/2020-03-01&amp;release=&amp;languages=en","124407008")</f>
        <v>124407008</v>
      </c>
      <c r="F45" t="s">
        <v>38</v>
      </c>
      <c r="H45" t="s">
        <v>17</v>
      </c>
      <c r="I45" t="s">
        <v>149</v>
      </c>
    </row>
    <row r="46" spans="1:10" x14ac:dyDescent="0.2">
      <c r="A46">
        <v>45</v>
      </c>
      <c r="B46" t="s">
        <v>150</v>
      </c>
      <c r="C46" t="s">
        <v>151</v>
      </c>
      <c r="D46" t="str">
        <f>HYPERLINK("https://browser.ihtsdotools.org/?perspective=full&amp;conceptId1=124678007&amp;edition=MAIN/SNOMEDCT-US/2020-03-01&amp;release=&amp;languages=en","124678007")</f>
        <v>124678007</v>
      </c>
      <c r="E46" t="str">
        <f>HYPERLINK("https://browser.ihtsdotools.org/?perspective=full&amp;conceptId1=124657009&amp;edition=MAIN/SNOMEDCT-US/2020-03-01&amp;release=&amp;languages=en","124657009")</f>
        <v>124657009</v>
      </c>
      <c r="F46" t="s">
        <v>38</v>
      </c>
      <c r="H46" t="s">
        <v>17</v>
      </c>
      <c r="I46" t="s">
        <v>152</v>
      </c>
    </row>
    <row r="47" spans="1:10" x14ac:dyDescent="0.2">
      <c r="A47">
        <v>46</v>
      </c>
      <c r="B47" t="s">
        <v>153</v>
      </c>
      <c r="C47" t="s">
        <v>154</v>
      </c>
      <c r="D47" t="str">
        <f>HYPERLINK("https://browser.ihtsdotools.org/?perspective=full&amp;conceptId1=124703008&amp;edition=MAIN/SNOMEDCT-US/2020-03-01&amp;release=&amp;languages=en","124703008")</f>
        <v>124703008</v>
      </c>
      <c r="E47" t="str">
        <f>HYPERLINK("https://browser.ihtsdotools.org/?perspective=full&amp;conceptId1=124687003&amp;edition=MAIN/SNOMEDCT-US/2020-03-01&amp;release=&amp;languages=en","124687003")</f>
        <v>124687003</v>
      </c>
      <c r="F47" t="s">
        <v>38</v>
      </c>
      <c r="H47" t="s">
        <v>17</v>
      </c>
      <c r="I47" t="s">
        <v>155</v>
      </c>
    </row>
    <row r="48" spans="1:10" x14ac:dyDescent="0.2">
      <c r="A48">
        <v>47</v>
      </c>
      <c r="B48" t="s">
        <v>156</v>
      </c>
      <c r="C48" t="s">
        <v>157</v>
      </c>
      <c r="D48" t="str">
        <f>HYPERLINK("https://browser.ihtsdotools.org/?perspective=full&amp;conceptId1=124264000&amp;edition=MAIN/SNOMEDCT-US/2020-03-01&amp;release=&amp;languages=en","124264000")</f>
        <v>124264000</v>
      </c>
      <c r="E48" t="str">
        <f>HYPERLINK("https://browser.ihtsdotools.org/?perspective=full&amp;conceptId1=124382004&amp;edition=MAIN/SNOMEDCT-US/2020-03-01&amp;release=&amp;languages=en","124382004")</f>
        <v>124382004</v>
      </c>
      <c r="F48" t="s">
        <v>38</v>
      </c>
      <c r="H48" t="s">
        <v>17</v>
      </c>
      <c r="I48" t="s">
        <v>158</v>
      </c>
    </row>
    <row r="49" spans="1:9" x14ac:dyDescent="0.2">
      <c r="A49">
        <v>48</v>
      </c>
      <c r="B49" t="s">
        <v>159</v>
      </c>
      <c r="C49" t="s">
        <v>140</v>
      </c>
      <c r="D49" t="str">
        <f>HYPERLINK("https://browser.ihtsdotools.org/?perspective=full&amp;conceptId1=302661005&amp;edition=MAIN/SNOMEDCT-US/2020-03-01&amp;release=&amp;languages=en","302661005")</f>
        <v>302661005</v>
      </c>
      <c r="E49" t="str">
        <f>HYPERLINK("https://browser.ihtsdotools.org/?perspective=full&amp;conceptId1=124407008&amp;edition=MAIN/SNOMEDCT-US/2020-03-01&amp;release=&amp;languages=en","124407008")</f>
        <v>124407008</v>
      </c>
      <c r="F49" t="s">
        <v>38</v>
      </c>
      <c r="H49" t="s">
        <v>17</v>
      </c>
      <c r="I49" t="s">
        <v>160</v>
      </c>
    </row>
    <row r="50" spans="1:9" x14ac:dyDescent="0.2">
      <c r="A50">
        <v>49</v>
      </c>
      <c r="B50" t="s">
        <v>161</v>
      </c>
      <c r="C50" t="s">
        <v>162</v>
      </c>
      <c r="D50" t="str">
        <f>HYPERLINK("https://browser.ihtsdotools.org/?perspective=full&amp;conceptId1=124266003&amp;edition=MAIN/SNOMEDCT-US/2020-03-01&amp;release=&amp;languages=en","124266003")</f>
        <v>124266003</v>
      </c>
      <c r="E50" t="str">
        <f>HYPERLINK("https://browser.ihtsdotools.org/?perspective=full&amp;conceptId1=124388000&amp;edition=MAIN/SNOMEDCT-US/2020-03-01&amp;release=&amp;languages=en","124388000")</f>
        <v>124388000</v>
      </c>
      <c r="F50" t="s">
        <v>38</v>
      </c>
      <c r="H50" t="s">
        <v>17</v>
      </c>
      <c r="I50" t="s">
        <v>163</v>
      </c>
    </row>
    <row r="51" spans="1:9" x14ac:dyDescent="0.2">
      <c r="A51">
        <v>50</v>
      </c>
      <c r="B51" t="s">
        <v>164</v>
      </c>
      <c r="C51" t="s">
        <v>165</v>
      </c>
      <c r="D51" t="str">
        <f>HYPERLINK("https://browser.ihtsdotools.org/?perspective=full&amp;conceptId1=130197005&amp;edition=MAIN/SNOMEDCT-US/2020-03-01&amp;release=&amp;languages=en","130197005")</f>
        <v>130197005</v>
      </c>
      <c r="E51" t="str">
        <f>HYPERLINK("https://browser.ihtsdotools.org/?perspective=full&amp;conceptId1=360822002&amp;edition=MAIN/SNOMEDCT-US/2020-03-01&amp;release=&amp;languages=en","360822002")</f>
        <v>360822002</v>
      </c>
      <c r="F51" t="s">
        <v>38</v>
      </c>
      <c r="H51" t="s">
        <v>17</v>
      </c>
      <c r="I51" t="s">
        <v>166</v>
      </c>
    </row>
    <row r="52" spans="1:9" x14ac:dyDescent="0.2">
      <c r="A52">
        <v>51</v>
      </c>
      <c r="B52" t="s">
        <v>167</v>
      </c>
      <c r="C52" t="s">
        <v>168</v>
      </c>
      <c r="D52" t="str">
        <f>HYPERLINK("https://browser.ihtsdotools.org/?perspective=full&amp;conceptId1=124347000&amp;edition=MAIN/SNOMEDCT-US/2020-03-01&amp;release=&amp;languages=en","124347000")</f>
        <v>124347000</v>
      </c>
      <c r="E52" t="str">
        <f>HYPERLINK("https://browser.ihtsdotools.org/?perspective=full&amp;conceptId1=124406004&amp;edition=MAIN/SNOMEDCT-US/2020-03-01&amp;release=&amp;languages=en","124406004")</f>
        <v>124406004</v>
      </c>
      <c r="F52" t="s">
        <v>38</v>
      </c>
      <c r="H52" t="s">
        <v>17</v>
      </c>
      <c r="I52" t="s">
        <v>169</v>
      </c>
    </row>
    <row r="53" spans="1:9" x14ac:dyDescent="0.2">
      <c r="A53">
        <v>52</v>
      </c>
      <c r="B53" t="s">
        <v>170</v>
      </c>
      <c r="C53" t="s">
        <v>154</v>
      </c>
      <c r="D53" t="str">
        <f>HYPERLINK("https://browser.ihtsdotools.org/?perspective=full&amp;conceptId1=124712005&amp;edition=MAIN/SNOMEDCT-US/2020-03-01&amp;release=&amp;languages=en","124712005")</f>
        <v>124712005</v>
      </c>
      <c r="E53" t="str">
        <f>HYPERLINK("https://browser.ihtsdotools.org/?perspective=full&amp;conceptId1=124687003&amp;edition=MAIN/SNOMEDCT-US/2020-03-01&amp;release=&amp;languages=en","124687003")</f>
        <v>124687003</v>
      </c>
      <c r="F53" t="s">
        <v>38</v>
      </c>
      <c r="H53" t="s">
        <v>17</v>
      </c>
      <c r="I53" t="s">
        <v>171</v>
      </c>
    </row>
    <row r="54" spans="1:9" x14ac:dyDescent="0.2">
      <c r="A54">
        <v>53</v>
      </c>
      <c r="B54" t="s">
        <v>172</v>
      </c>
      <c r="C54" t="s">
        <v>140</v>
      </c>
      <c r="D54" t="str">
        <f>HYPERLINK("https://browser.ihtsdotools.org/?perspective=full&amp;conceptId1=124442007&amp;edition=MAIN/SNOMEDCT-US/2020-03-01&amp;release=&amp;languages=en","124442007")</f>
        <v>124442007</v>
      </c>
      <c r="E54" t="str">
        <f>HYPERLINK("https://browser.ihtsdotools.org/?perspective=full&amp;conceptId1=124407008&amp;edition=MAIN/SNOMEDCT-US/2020-03-01&amp;release=&amp;languages=en","124407008")</f>
        <v>124407008</v>
      </c>
      <c r="F54" t="s">
        <v>38</v>
      </c>
      <c r="H54" t="s">
        <v>17</v>
      </c>
      <c r="I54" t="s">
        <v>173</v>
      </c>
    </row>
    <row r="55" spans="1:9" x14ac:dyDescent="0.2">
      <c r="A55">
        <v>54</v>
      </c>
      <c r="B55" t="s">
        <v>174</v>
      </c>
      <c r="C55" t="s">
        <v>175</v>
      </c>
      <c r="D55" t="str">
        <f>HYPERLINK("https://browser.ihtsdotools.org/?perspective=full&amp;conceptId1=361010007&amp;edition=MAIN/SNOMEDCT-US/2020-03-01&amp;release=&amp;languages=en","361010007")</f>
        <v>361010007</v>
      </c>
      <c r="E55" t="str">
        <f>HYPERLINK("https://browser.ihtsdotools.org/?perspective=full&amp;conceptId1=124563007&amp;edition=MAIN/SNOMEDCT-US/2020-03-01&amp;release=&amp;languages=en","124563007")</f>
        <v>124563007</v>
      </c>
      <c r="F55" t="s">
        <v>38</v>
      </c>
      <c r="H55" t="s">
        <v>17</v>
      </c>
      <c r="I55" t="s">
        <v>176</v>
      </c>
    </row>
    <row r="56" spans="1:9" x14ac:dyDescent="0.2">
      <c r="A56">
        <v>55</v>
      </c>
      <c r="B56" t="s">
        <v>177</v>
      </c>
      <c r="C56" t="s">
        <v>140</v>
      </c>
      <c r="D56" t="str">
        <f>HYPERLINK("https://browser.ihtsdotools.org/?perspective=full&amp;conceptId1=3642008&amp;edition=MAIN/SNOMEDCT-US/2020-03-01&amp;release=&amp;languages=en","3642008")</f>
        <v>3642008</v>
      </c>
      <c r="E56" t="str">
        <f>HYPERLINK("https://browser.ihtsdotools.org/?perspective=full&amp;conceptId1=124407008&amp;edition=MAIN/SNOMEDCT-US/2020-03-01&amp;release=&amp;languages=en","124407008")</f>
        <v>124407008</v>
      </c>
      <c r="F56" t="s">
        <v>38</v>
      </c>
      <c r="H56" t="s">
        <v>136</v>
      </c>
      <c r="I56" t="s">
        <v>178</v>
      </c>
    </row>
    <row r="57" spans="1:9" x14ac:dyDescent="0.2">
      <c r="A57">
        <v>56</v>
      </c>
      <c r="B57" t="s">
        <v>179</v>
      </c>
      <c r="C57" t="s">
        <v>175</v>
      </c>
      <c r="D57" t="str">
        <f>HYPERLINK("https://browser.ihtsdotools.org/?perspective=full&amp;conceptId1=124496006&amp;edition=MAIN/SNOMEDCT-US/2020-03-01&amp;release=&amp;languages=en","124496006")</f>
        <v>124496006</v>
      </c>
      <c r="E57" t="str">
        <f>HYPERLINK("https://browser.ihtsdotools.org/?perspective=full&amp;conceptId1=124563007&amp;edition=MAIN/SNOMEDCT-US/2020-03-01&amp;release=&amp;languages=en","124563007")</f>
        <v>124563007</v>
      </c>
      <c r="F57" t="s">
        <v>38</v>
      </c>
      <c r="H57" t="s">
        <v>17</v>
      </c>
      <c r="I57" t="s">
        <v>180</v>
      </c>
    </row>
    <row r="58" spans="1:9" x14ac:dyDescent="0.2">
      <c r="A58">
        <v>57</v>
      </c>
      <c r="B58" t="s">
        <v>181</v>
      </c>
      <c r="C58" t="s">
        <v>182</v>
      </c>
      <c r="D58" t="str">
        <f>HYPERLINK("https://browser.ihtsdotools.org/?perspective=full&amp;conceptId1=16045391000119101&amp;edition=MAIN/SNOMEDCT-US/2020-03-01&amp;release=&amp;languages=en","16045391000119101")</f>
        <v>16045391000119101</v>
      </c>
      <c r="E58" t="str">
        <f>HYPERLINK("https://browser.ihtsdotools.org/?perspective=full&amp;conceptId1=146231000119109&amp;edition=MAIN/SNOMEDCT-US/2020-03-01&amp;release=&amp;languages=en","146231000119109")</f>
        <v>146231000119109</v>
      </c>
      <c r="F58" t="s">
        <v>38</v>
      </c>
      <c r="H58" t="s">
        <v>183</v>
      </c>
      <c r="I58" t="s">
        <v>184</v>
      </c>
    </row>
    <row r="59" spans="1:9" x14ac:dyDescent="0.2">
      <c r="A59">
        <v>58</v>
      </c>
      <c r="B59" t="s">
        <v>185</v>
      </c>
      <c r="C59" t="s">
        <v>186</v>
      </c>
      <c r="D59" t="str">
        <f>HYPERLINK("https://browser.ihtsdotools.org/?perspective=full&amp;conceptId1=276730002&amp;edition=MAIN/SNOMEDCT-US/2020-03-01&amp;release=&amp;languages=en","276730002")</f>
        <v>276730002</v>
      </c>
      <c r="E59" t="str">
        <f>HYPERLINK("https://browser.ihtsdotools.org/?perspective=full&amp;conceptId1=126952004&amp;edition=MAIN/SNOMEDCT-US/2020-03-01&amp;release=&amp;languages=en","126952004")</f>
        <v>126952004</v>
      </c>
      <c r="F59" t="s">
        <v>38</v>
      </c>
      <c r="H59" t="s">
        <v>136</v>
      </c>
      <c r="I59" t="s">
        <v>187</v>
      </c>
    </row>
    <row r="60" spans="1:9" x14ac:dyDescent="0.2">
      <c r="A60">
        <v>59</v>
      </c>
      <c r="B60" t="s">
        <v>188</v>
      </c>
      <c r="C60" t="s">
        <v>189</v>
      </c>
      <c r="D60" t="str">
        <f>HYPERLINK("https://browser.ihtsdotools.org/?perspective=full&amp;conceptId1=30437004&amp;edition=MAIN/SNOMEDCT-US/2020-03-01&amp;release=&amp;languages=en","30437004")</f>
        <v>30437004</v>
      </c>
      <c r="E60" t="str">
        <f>HYPERLINK("https://browser.ihtsdotools.org/?perspective=full&amp;conceptId1=271503005&amp;edition=MAIN/SNOMEDCT-US/2020-03-01&amp;release=&amp;languages=en","271503005")</f>
        <v>271503005</v>
      </c>
      <c r="F60" t="s">
        <v>38</v>
      </c>
      <c r="H60" t="s">
        <v>17</v>
      </c>
      <c r="I60" t="s">
        <v>190</v>
      </c>
    </row>
    <row r="61" spans="1:9" x14ac:dyDescent="0.2">
      <c r="A61">
        <v>60</v>
      </c>
      <c r="B61" t="s">
        <v>191</v>
      </c>
      <c r="C61" t="s">
        <v>192</v>
      </c>
      <c r="D61" t="str">
        <f>HYPERLINK("https://browser.ihtsdotools.org/?perspective=full&amp;conceptId1=365865003&amp;edition=MAIN/SNOMEDCT-US/2020-03-01&amp;release=&amp;languages=en","365865003")</f>
        <v>365865003</v>
      </c>
      <c r="E61" t="str">
        <f>HYPERLINK("https://browser.ihtsdotools.org/?perspective=full&amp;conceptId1=365861007&amp;edition=MAIN/SNOMEDCT-US/2020-03-01&amp;release=&amp;languages=en","365861007")</f>
        <v>365861007</v>
      </c>
      <c r="F61" t="s">
        <v>38</v>
      </c>
      <c r="H61" t="s">
        <v>17</v>
      </c>
      <c r="I61" t="s">
        <v>193</v>
      </c>
    </row>
    <row r="62" spans="1:9" x14ac:dyDescent="0.2">
      <c r="A62">
        <v>61</v>
      </c>
      <c r="B62" t="s">
        <v>194</v>
      </c>
      <c r="C62" t="s">
        <v>105</v>
      </c>
      <c r="D62" t="str">
        <f>HYPERLINK("https://browser.ihtsdotools.org/?perspective=full&amp;conceptId1=73481001&amp;edition=MAIN/SNOMEDCT-US/2020-03-01&amp;release=&amp;languages=en","73481001")</f>
        <v>73481001</v>
      </c>
      <c r="E62" t="str">
        <f>HYPERLINK("https://browser.ihtsdotools.org/?perspective=full&amp;conceptId1=37442009&amp;edition=MAIN/SNOMEDCT-US/2020-03-01&amp;release=&amp;languages=en","37442009")</f>
        <v>37442009</v>
      </c>
      <c r="F62" t="s">
        <v>38</v>
      </c>
      <c r="H62" t="s">
        <v>195</v>
      </c>
      <c r="I62" t="s">
        <v>196</v>
      </c>
    </row>
    <row r="63" spans="1:9" x14ac:dyDescent="0.2">
      <c r="A63">
        <v>62</v>
      </c>
      <c r="B63" t="s">
        <v>197</v>
      </c>
      <c r="C63" t="s">
        <v>198</v>
      </c>
      <c r="D63" t="str">
        <f>HYPERLINK("https://browser.ihtsdotools.org/?perspective=full&amp;conceptId1=23121000175104&amp;edition=MAIN/SNOMEDCT-US/2020-03-01&amp;release=&amp;languages=en","23121000175104")</f>
        <v>23121000175104</v>
      </c>
      <c r="E63" t="str">
        <f>HYPERLINK("https://browser.ihtsdotools.org/?perspective=full&amp;conceptId1=125663008&amp;edition=MAIN/SNOMEDCT-US/2020-03-01&amp;release=&amp;languages=en","125663008")</f>
        <v>125663008</v>
      </c>
      <c r="F63" t="s">
        <v>38</v>
      </c>
      <c r="H63" t="s">
        <v>17</v>
      </c>
      <c r="I63" t="s">
        <v>199</v>
      </c>
    </row>
    <row r="64" spans="1:9" x14ac:dyDescent="0.2">
      <c r="A64">
        <v>63</v>
      </c>
      <c r="B64" t="s">
        <v>200</v>
      </c>
      <c r="C64" t="s">
        <v>201</v>
      </c>
      <c r="D64" t="str">
        <f>HYPERLINK("https://browser.ihtsdotools.org/?perspective=full&amp;conceptId1=81700000&amp;edition=MAIN/SNOMEDCT-US/2020-03-01&amp;release=&amp;languages=en","81700000")</f>
        <v>81700000</v>
      </c>
      <c r="E64" t="str">
        <f>HYPERLINK("https://browser.ihtsdotools.org/?perspective=full&amp;conceptId1=52474000&amp;edition=MAIN/SNOMEDCT-US/2020-03-01&amp;release=&amp;languages=en","52474000")</f>
        <v>52474000</v>
      </c>
      <c r="F64" t="s">
        <v>38</v>
      </c>
      <c r="H64" t="s">
        <v>4</v>
      </c>
      <c r="I64" t="s">
        <v>202</v>
      </c>
    </row>
    <row r="65" spans="1:10" x14ac:dyDescent="0.2">
      <c r="A65">
        <v>64</v>
      </c>
      <c r="B65" t="s">
        <v>203</v>
      </c>
      <c r="C65" t="s">
        <v>204</v>
      </c>
      <c r="D65" t="str">
        <f>HYPERLINK("https://browser.ihtsdotools.org/?perspective=full&amp;conceptId1=254871000&amp;edition=MAIN/SNOMEDCT-US/2020-03-01&amp;release=&amp;languages=en","254871000")</f>
        <v>254871000</v>
      </c>
      <c r="E65" t="str">
        <f>HYPERLINK("https://browser.ihtsdotools.org/?perspective=full&amp;conceptId1=716077006&amp;edition=MAIN/SNOMEDCT-US/2020-03-01&amp;release=&amp;languages=en","716077006")</f>
        <v>716077006</v>
      </c>
      <c r="F65" t="s">
        <v>38</v>
      </c>
      <c r="H65" t="s">
        <v>4</v>
      </c>
      <c r="I65" t="s">
        <v>205</v>
      </c>
    </row>
    <row r="66" spans="1:10" x14ac:dyDescent="0.2">
      <c r="A66">
        <v>65</v>
      </c>
      <c r="B66" t="s">
        <v>206</v>
      </c>
      <c r="C66" t="s">
        <v>207</v>
      </c>
      <c r="D66" t="str">
        <f>HYPERLINK("https://browser.ihtsdotools.org/?perspective=full&amp;conceptId1=26498006&amp;edition=MAIN/SNOMEDCT-US/2020-03-01&amp;release=&amp;languages=en","26498006")</f>
        <v>26498006</v>
      </c>
      <c r="E66" t="str">
        <f>HYPERLINK("https://browser.ihtsdotools.org/?perspective=full&amp;conceptId1=111934004&amp;edition=MAIN/SNOMEDCT-US/2020-03-01&amp;release=&amp;languages=en","111934004")</f>
        <v>111934004</v>
      </c>
      <c r="F66" t="s">
        <v>38</v>
      </c>
      <c r="H66" t="s">
        <v>17</v>
      </c>
      <c r="I66" t="s">
        <v>208</v>
      </c>
    </row>
    <row r="67" spans="1:10" x14ac:dyDescent="0.2">
      <c r="A67">
        <v>66</v>
      </c>
      <c r="B67" t="s">
        <v>209</v>
      </c>
      <c r="C67" t="s">
        <v>210</v>
      </c>
      <c r="D67" t="str">
        <f>HYPERLINK("https://browser.ihtsdotools.org/?perspective=full&amp;conceptId1=11798951000119105&amp;edition=MAIN/SNOMEDCT-US/2020-03-01&amp;release=&amp;languages=en","11798951000119105")</f>
        <v>11798951000119105</v>
      </c>
      <c r="E67" t="str">
        <f>HYPERLINK("https://browser.ihtsdotools.org/?perspective=full&amp;conceptId1=18796000&amp;edition=MAIN/SNOMEDCT-US/2020-03-01&amp;release=&amp;languages=en","18796000")</f>
        <v>18796000</v>
      </c>
      <c r="F67" t="s">
        <v>38</v>
      </c>
      <c r="H67" t="s">
        <v>30</v>
      </c>
      <c r="I67" t="s">
        <v>211</v>
      </c>
    </row>
    <row r="68" spans="1:10" x14ac:dyDescent="0.2">
      <c r="A68">
        <v>67</v>
      </c>
      <c r="B68" t="s">
        <v>212</v>
      </c>
      <c r="C68" t="s">
        <v>213</v>
      </c>
      <c r="D68" t="str">
        <f>HYPERLINK("https://browser.ihtsdotools.org/?perspective=full&amp;conceptId1=10963531000119101&amp;edition=MAIN/SNOMEDCT-US/2020-03-01&amp;release=&amp;languages=en","10963531000119101")</f>
        <v>10963531000119101</v>
      </c>
      <c r="E68" t="str">
        <f>HYPERLINK("https://browser.ihtsdotools.org/?perspective=full&amp;conceptId1=10956681000119103&amp;edition=MAIN/SNOMEDCT-US/2020-03-01&amp;release=&amp;languages=en","10956681000119103")</f>
        <v>10956681000119103</v>
      </c>
      <c r="F68" t="s">
        <v>38</v>
      </c>
      <c r="H68" t="s">
        <v>17</v>
      </c>
      <c r="I68" t="s">
        <v>214</v>
      </c>
    </row>
    <row r="69" spans="1:10" x14ac:dyDescent="0.2">
      <c r="A69">
        <v>68</v>
      </c>
      <c r="B69" t="s">
        <v>215</v>
      </c>
      <c r="C69" t="s">
        <v>210</v>
      </c>
      <c r="D69" t="str">
        <f>HYPERLINK("https://browser.ihtsdotools.org/?perspective=full&amp;conceptId1=11799401000119106&amp;edition=MAIN/SNOMEDCT-US/2020-03-01&amp;release=&amp;languages=en","11799401000119106")</f>
        <v>11799401000119106</v>
      </c>
      <c r="E69" t="str">
        <f>HYPERLINK("https://browser.ihtsdotools.org/?perspective=full&amp;conceptId1=18796000&amp;edition=MAIN/SNOMEDCT-US/2020-03-01&amp;release=&amp;languages=en","18796000")</f>
        <v>18796000</v>
      </c>
      <c r="F69" t="s">
        <v>38</v>
      </c>
      <c r="H69" t="s">
        <v>30</v>
      </c>
      <c r="I69" t="s">
        <v>216</v>
      </c>
      <c r="J69" t="s">
        <v>217</v>
      </c>
    </row>
    <row r="70" spans="1:10" x14ac:dyDescent="0.2">
      <c r="A70">
        <v>69</v>
      </c>
      <c r="B70" t="s">
        <v>218</v>
      </c>
      <c r="C70" t="s">
        <v>219</v>
      </c>
      <c r="D70" t="str">
        <f>HYPERLINK("https://browser.ihtsdotools.org/?perspective=full&amp;conceptId1=238655003&amp;edition=MAIN/SNOMEDCT-US/2020-03-01&amp;release=&amp;languages=en","238655003")</f>
        <v>238655003</v>
      </c>
      <c r="E70" t="str">
        <f>HYPERLINK("https://browser.ihtsdotools.org/?perspective=full&amp;conceptId1=402694007&amp;edition=MAIN/SNOMEDCT-US/2020-03-01&amp;release=&amp;languages=en","402694007")</f>
        <v>402694007</v>
      </c>
      <c r="F70" t="s">
        <v>38</v>
      </c>
      <c r="H70" t="s">
        <v>4</v>
      </c>
      <c r="I70" t="s">
        <v>220</v>
      </c>
    </row>
    <row r="71" spans="1:10" x14ac:dyDescent="0.2">
      <c r="A71">
        <v>70</v>
      </c>
      <c r="B71" t="s">
        <v>221</v>
      </c>
      <c r="C71" t="s">
        <v>222</v>
      </c>
      <c r="D71" t="str">
        <f>HYPERLINK("https://browser.ihtsdotools.org/?perspective=full&amp;conceptId1=93228004&amp;edition=MAIN/SNOMEDCT-US/2020-03-01&amp;release=&amp;languages=en","93228004")</f>
        <v>93228004</v>
      </c>
      <c r="E71" t="str">
        <f>HYPERLINK("https://browser.ihtsdotools.org/?perspective=full&amp;conceptId1=188122007&amp;edition=MAIN/SNOMEDCT-US/2020-03-01&amp;release=&amp;languages=en","188122007")</f>
        <v>188122007</v>
      </c>
      <c r="F71" t="s">
        <v>38</v>
      </c>
      <c r="H71" t="s">
        <v>9</v>
      </c>
      <c r="I71" t="s">
        <v>223</v>
      </c>
    </row>
    <row r="72" spans="1:10" x14ac:dyDescent="0.2">
      <c r="A72">
        <v>71</v>
      </c>
      <c r="B72" t="s">
        <v>224</v>
      </c>
      <c r="C72" t="s">
        <v>225</v>
      </c>
      <c r="D72" t="str">
        <f>HYPERLINK("https://browser.ihtsdotools.org/?perspective=full&amp;conceptId1=313701000119100&amp;edition=MAIN/SNOMEDCT-US/2020-03-01&amp;release=&amp;languages=en","313701000119100")</f>
        <v>313701000119100</v>
      </c>
      <c r="E72" t="str">
        <f>HYPERLINK("https://browser.ihtsdotools.org/?perspective=full&amp;conceptId1=1074861000119102&amp;edition=MAIN/SNOMEDCT-US/2020-03-01&amp;release=&amp;languages=en","1074861000119102")</f>
        <v>1074861000119102</v>
      </c>
      <c r="F72" t="s">
        <v>38</v>
      </c>
      <c r="H72" t="s">
        <v>17</v>
      </c>
      <c r="I72" t="s">
        <v>226</v>
      </c>
    </row>
    <row r="73" spans="1:10" x14ac:dyDescent="0.2">
      <c r="A73">
        <v>72</v>
      </c>
      <c r="B73" t="s">
        <v>227</v>
      </c>
      <c r="C73" t="s">
        <v>228</v>
      </c>
      <c r="D73" t="str">
        <f>HYPERLINK("https://browser.ihtsdotools.org/?perspective=full&amp;conceptId1=609592007&amp;edition=MAIN/SNOMEDCT-US/2020-03-01&amp;release=&amp;languages=en","609592007")</f>
        <v>609592007</v>
      </c>
      <c r="E73" t="str">
        <f>HYPERLINK("https://browser.ihtsdotools.org/?perspective=full&amp;conceptId1=280136002&amp;edition=MAIN/SNOMEDCT-US/2020-03-01&amp;release=&amp;languages=en","280136002")</f>
        <v>280136002</v>
      </c>
      <c r="F73" t="s">
        <v>38</v>
      </c>
      <c r="H73" t="s">
        <v>17</v>
      </c>
      <c r="I73" t="s">
        <v>229</v>
      </c>
    </row>
    <row r="74" spans="1:10" x14ac:dyDescent="0.2">
      <c r="A74">
        <v>73</v>
      </c>
      <c r="B74" t="s">
        <v>230</v>
      </c>
      <c r="C74" t="s">
        <v>231</v>
      </c>
      <c r="D74" t="str">
        <f>HYPERLINK("https://browser.ihtsdotools.org/?perspective=full&amp;conceptId1=782395007&amp;edition=MAIN/SNOMEDCT-US/2020-03-01&amp;release=&amp;languages=en","782395007")</f>
        <v>782395007</v>
      </c>
      <c r="E74" t="str">
        <f>HYPERLINK("https://browser.ihtsdotools.org/?perspective=full&amp;conceptId1=103001000119108&amp;edition=MAIN/SNOMEDCT-US/2020-03-01&amp;release=&amp;languages=en","103001000119108")</f>
        <v>103001000119108</v>
      </c>
      <c r="F74" t="s">
        <v>38</v>
      </c>
      <c r="H74" t="s">
        <v>17</v>
      </c>
      <c r="I74" t="s">
        <v>232</v>
      </c>
    </row>
    <row r="75" spans="1:10" x14ac:dyDescent="0.2">
      <c r="A75">
        <v>74</v>
      </c>
      <c r="B75" t="s">
        <v>233</v>
      </c>
      <c r="C75" t="s">
        <v>234</v>
      </c>
      <c r="D75" t="str">
        <f>HYPERLINK("https://browser.ihtsdotools.org/?perspective=full&amp;conceptId1=762560004&amp;edition=MAIN/SNOMEDCT-US/2020-03-01&amp;release=&amp;languages=en","762560004")</f>
        <v>762560004</v>
      </c>
      <c r="E75" t="str">
        <f>HYPERLINK("https://browser.ihtsdotools.org/?perspective=full&amp;conceptId1=762571003&amp;edition=MAIN/SNOMEDCT-US/2020-03-01&amp;release=&amp;languages=en","762571003")</f>
        <v>762571003</v>
      </c>
      <c r="F75" t="s">
        <v>38</v>
      </c>
      <c r="H75" t="s">
        <v>17</v>
      </c>
      <c r="I75" t="s">
        <v>235</v>
      </c>
    </row>
    <row r="76" spans="1:10" x14ac:dyDescent="0.2">
      <c r="A76">
        <v>75</v>
      </c>
      <c r="B76" t="s">
        <v>236</v>
      </c>
      <c r="C76" t="s">
        <v>237</v>
      </c>
      <c r="D76" t="str">
        <f>HYPERLINK("https://browser.ihtsdotools.org/?perspective=full&amp;conceptId1=10815901000119106&amp;edition=MAIN/SNOMEDCT-US/2020-03-01&amp;release=&amp;languages=en","10815901000119106")</f>
        <v>10815901000119106</v>
      </c>
      <c r="E76" t="str">
        <f>HYPERLINK("https://browser.ihtsdotools.org/?perspective=full&amp;conceptId1=10815981000119103&amp;edition=MAIN/SNOMEDCT-US/2020-03-01&amp;release=&amp;languages=en","10815981000119103")</f>
        <v>10815981000119103</v>
      </c>
      <c r="F76" t="s">
        <v>38</v>
      </c>
      <c r="H76" t="s">
        <v>238</v>
      </c>
      <c r="I76" t="s">
        <v>239</v>
      </c>
    </row>
    <row r="77" spans="1:10" x14ac:dyDescent="0.2">
      <c r="A77">
        <v>76</v>
      </c>
      <c r="B77" t="s">
        <v>240</v>
      </c>
      <c r="C77" t="s">
        <v>241</v>
      </c>
      <c r="D77" t="str">
        <f>HYPERLINK("https://browser.ihtsdotools.org/?perspective=full&amp;conceptId1=10957561000119109&amp;edition=MAIN/SNOMEDCT-US/2020-03-01&amp;release=&amp;languages=en","10957561000119109")</f>
        <v>10957561000119109</v>
      </c>
      <c r="E77" t="str">
        <f>HYPERLINK("https://browser.ihtsdotools.org/?perspective=full&amp;conceptId1=125653000&amp;edition=MAIN/SNOMEDCT-US/2020-03-01&amp;release=&amp;languages=en","125653000")</f>
        <v>125653000</v>
      </c>
      <c r="F77" t="s">
        <v>2</v>
      </c>
      <c r="G77" t="s">
        <v>242</v>
      </c>
      <c r="H77" t="s">
        <v>45</v>
      </c>
      <c r="I77" t="s">
        <v>243</v>
      </c>
    </row>
    <row r="78" spans="1:10" x14ac:dyDescent="0.2">
      <c r="A78">
        <v>77</v>
      </c>
      <c r="B78" t="s">
        <v>244</v>
      </c>
      <c r="C78" t="s">
        <v>245</v>
      </c>
      <c r="D78" t="str">
        <f>HYPERLINK("https://browser.ihtsdotools.org/?perspective=full&amp;conceptId1=323251000119103&amp;edition=MAIN/SNOMEDCT-US/2020-03-01&amp;release=&amp;languages=en","323251000119103")</f>
        <v>323251000119103</v>
      </c>
      <c r="E78" t="str">
        <f>HYPERLINK("https://browser.ihtsdotools.org/?perspective=full&amp;conceptId1=1074801000119103&amp;edition=MAIN/SNOMEDCT-US/2020-03-01&amp;release=&amp;languages=en","1074801000119103")</f>
        <v>1074801000119103</v>
      </c>
      <c r="F78" t="s">
        <v>38</v>
      </c>
      <c r="H78" t="s">
        <v>246</v>
      </c>
      <c r="I78" t="s">
        <v>247</v>
      </c>
    </row>
    <row r="79" spans="1:10" x14ac:dyDescent="0.2">
      <c r="A79">
        <v>78</v>
      </c>
      <c r="B79" t="s">
        <v>248</v>
      </c>
      <c r="C79" t="s">
        <v>249</v>
      </c>
      <c r="D79" t="str">
        <f>HYPERLINK("https://browser.ihtsdotools.org/?perspective=full&amp;conceptId1=239873007&amp;edition=MAIN/SNOMEDCT-US/2020-03-01&amp;release=&amp;languages=en","239873007")</f>
        <v>239873007</v>
      </c>
      <c r="E79" t="str">
        <f>HYPERLINK("https://browser.ihtsdotools.org/?perspective=full&amp;conceptId1=371081002&amp;edition=MAIN/SNOMEDCT-US/2020-03-01&amp;release=&amp;languages=en","371081002")</f>
        <v>371081002</v>
      </c>
      <c r="F79" t="s">
        <v>38</v>
      </c>
      <c r="H79" t="s">
        <v>246</v>
      </c>
      <c r="I79" t="s">
        <v>247</v>
      </c>
    </row>
    <row r="80" spans="1:10" x14ac:dyDescent="0.2">
      <c r="A80">
        <v>79</v>
      </c>
      <c r="B80" t="s">
        <v>250</v>
      </c>
      <c r="C80" t="s">
        <v>251</v>
      </c>
      <c r="D80" t="str">
        <f>HYPERLINK("https://browser.ihtsdotools.org/?perspective=full&amp;conceptId1=15722441000119106&amp;edition=MAIN/SNOMEDCT-US/2020-03-01&amp;release=&amp;languages=en","15722441000119106")</f>
        <v>15722441000119106</v>
      </c>
      <c r="E80" t="str">
        <f>HYPERLINK("https://browser.ihtsdotools.org/?perspective=full&amp;conceptId1=16015791000119109&amp;edition=MAIN/SNOMEDCT-US/2020-03-01&amp;release=&amp;languages=en","16015791000119109")</f>
        <v>16015791000119109</v>
      </c>
      <c r="F80" t="s">
        <v>38</v>
      </c>
      <c r="H80" t="s">
        <v>246</v>
      </c>
      <c r="I80" t="s">
        <v>247</v>
      </c>
    </row>
    <row r="81" spans="1:9" x14ac:dyDescent="0.2">
      <c r="A81">
        <v>80</v>
      </c>
      <c r="B81" t="s">
        <v>252</v>
      </c>
      <c r="C81" t="s">
        <v>253</v>
      </c>
      <c r="D81" t="str">
        <f>HYPERLINK("https://browser.ihtsdotools.org/?perspective=full&amp;conceptId1=11305281000119103&amp;edition=MAIN/SNOMEDCT-US/2020-03-01&amp;release=&amp;languages=en","11305281000119103")</f>
        <v>11305281000119103</v>
      </c>
      <c r="E81" t="str">
        <f>HYPERLINK("https://browser.ihtsdotools.org/?perspective=full&amp;conceptId1=445527009&amp;edition=MAIN/SNOMEDCT-US/2020-03-01&amp;release=&amp;languages=en","445527009")</f>
        <v>445527009</v>
      </c>
      <c r="F81" t="s">
        <v>38</v>
      </c>
      <c r="H81" t="s">
        <v>45</v>
      </c>
      <c r="I81" t="s">
        <v>254</v>
      </c>
    </row>
    <row r="82" spans="1:9" x14ac:dyDescent="0.2">
      <c r="A82">
        <v>81</v>
      </c>
      <c r="B82" t="s">
        <v>255</v>
      </c>
      <c r="C82" t="s">
        <v>256</v>
      </c>
      <c r="D82" t="str">
        <f>HYPERLINK("https://browser.ihtsdotools.org/?perspective=full&amp;conceptId1=372009000&amp;edition=MAIN/SNOMEDCT-US/2020-03-01&amp;release=&amp;languages=en","372009000")</f>
        <v>372009000</v>
      </c>
      <c r="E82" t="str">
        <f>HYPERLINK("https://browser.ihtsdotools.org/?perspective=full&amp;conceptId1=94047004&amp;edition=MAIN/SNOMEDCT-US/2020-03-01&amp;release=&amp;languages=en","94047004")</f>
        <v>94047004</v>
      </c>
      <c r="F82" t="s">
        <v>38</v>
      </c>
      <c r="H82" t="s">
        <v>4</v>
      </c>
      <c r="I82" t="s">
        <v>257</v>
      </c>
    </row>
    <row r="83" spans="1:9" x14ac:dyDescent="0.2">
      <c r="A83">
        <v>82</v>
      </c>
      <c r="B83" t="s">
        <v>258</v>
      </c>
      <c r="C83" t="s">
        <v>259</v>
      </c>
      <c r="D83" t="str">
        <f>HYPERLINK("https://browser.ihtsdotools.org/?perspective=full&amp;conceptId1=83831000119100&amp;edition=MAIN/SNOMEDCT-US/2020-03-01&amp;release=&amp;languages=en","83831000119100")</f>
        <v>83831000119100</v>
      </c>
      <c r="E83" t="str">
        <f>HYPERLINK("https://browser.ihtsdotools.org/?perspective=full&amp;conceptId1=431263002&amp;edition=MAIN/SNOMEDCT-US/2020-03-01&amp;release=&amp;languages=en","431263002")</f>
        <v>431263002</v>
      </c>
      <c r="F83" t="s">
        <v>38</v>
      </c>
      <c r="H83" t="s">
        <v>17</v>
      </c>
      <c r="I83" t="s">
        <v>260</v>
      </c>
    </row>
    <row r="84" spans="1:9" x14ac:dyDescent="0.2">
      <c r="A84">
        <v>83</v>
      </c>
      <c r="B84" t="s">
        <v>261</v>
      </c>
      <c r="C84" t="s">
        <v>262</v>
      </c>
      <c r="D84" t="str">
        <f>HYPERLINK("https://browser.ihtsdotools.org/?perspective=full&amp;conceptId1=198949009&amp;edition=MAIN/SNOMEDCT-US/2020-03-01&amp;release=&amp;languages=en","198949009")</f>
        <v>198949009</v>
      </c>
      <c r="E84" t="str">
        <f>HYPERLINK("https://browser.ihtsdotools.org/?perspective=full&amp;conceptId1=198941007&amp;edition=MAIN/SNOMEDCT-US/2020-03-01&amp;release=&amp;languages=en","198941007")</f>
        <v>198941007</v>
      </c>
      <c r="F84" t="s">
        <v>38</v>
      </c>
      <c r="H84" t="s">
        <v>4</v>
      </c>
      <c r="I84" t="s">
        <v>263</v>
      </c>
    </row>
    <row r="85" spans="1:9" x14ac:dyDescent="0.2">
      <c r="A85">
        <v>84</v>
      </c>
      <c r="B85" t="s">
        <v>264</v>
      </c>
      <c r="C85" t="s">
        <v>265</v>
      </c>
      <c r="D85" t="str">
        <f>HYPERLINK("https://browser.ihtsdotools.org/?perspective=full&amp;conceptId1=1076571000119104&amp;edition=MAIN/SNOMEDCT-US/2020-03-01&amp;release=&amp;languages=en","1076571000119104")</f>
        <v>1076571000119104</v>
      </c>
      <c r="E85" t="str">
        <f>HYPERLINK("https://browser.ihtsdotools.org/?perspective=full&amp;conceptId1=303111000119104&amp;edition=MAIN/SNOMEDCT-US/2020-03-01&amp;release=&amp;languages=en","303111000119104")</f>
        <v>303111000119104</v>
      </c>
      <c r="F85" t="s">
        <v>38</v>
      </c>
      <c r="H85" t="s">
        <v>17</v>
      </c>
      <c r="I85" t="s">
        <v>266</v>
      </c>
    </row>
    <row r="86" spans="1:9" x14ac:dyDescent="0.2">
      <c r="A86">
        <v>85</v>
      </c>
      <c r="B86" t="s">
        <v>267</v>
      </c>
      <c r="C86" t="s">
        <v>268</v>
      </c>
      <c r="D86" t="str">
        <f>HYPERLINK("https://browser.ihtsdotools.org/?perspective=full&amp;conceptId1=283066007&amp;edition=MAIN/SNOMEDCT-US/2020-03-01&amp;release=&amp;languages=en","283066007")</f>
        <v>283066007</v>
      </c>
      <c r="E86" t="str">
        <f>HYPERLINK("https://browser.ihtsdotools.org/?perspective=full&amp;conceptId1=283049005&amp;edition=MAIN/SNOMEDCT-US/2020-03-01&amp;release=&amp;languages=en","283049005")</f>
        <v>283049005</v>
      </c>
      <c r="F86" t="s">
        <v>38</v>
      </c>
      <c r="H86" t="s">
        <v>17</v>
      </c>
      <c r="I86" t="s">
        <v>269</v>
      </c>
    </row>
    <row r="87" spans="1:9" x14ac:dyDescent="0.2">
      <c r="A87">
        <v>86</v>
      </c>
      <c r="B87" t="s">
        <v>270</v>
      </c>
      <c r="C87" t="s">
        <v>271</v>
      </c>
      <c r="D87" t="str">
        <f>HYPERLINK("https://browser.ihtsdotools.org/?perspective=full&amp;conceptId1=283082008&amp;edition=MAIN/SNOMEDCT-US/2020-03-01&amp;release=&amp;languages=en","283082008")</f>
        <v>283082008</v>
      </c>
      <c r="E87" t="str">
        <f>HYPERLINK("https://browser.ihtsdotools.org/?perspective=full&amp;conceptId1=283058003&amp;edition=MAIN/SNOMEDCT-US/2020-03-01&amp;release=&amp;languages=en","283058003")</f>
        <v>283058003</v>
      </c>
      <c r="F87" t="s">
        <v>38</v>
      </c>
      <c r="H87" t="s">
        <v>17</v>
      </c>
      <c r="I87" t="s">
        <v>269</v>
      </c>
    </row>
    <row r="88" spans="1:9" x14ac:dyDescent="0.2">
      <c r="A88">
        <v>87</v>
      </c>
      <c r="B88" t="s">
        <v>272</v>
      </c>
      <c r="C88" t="s">
        <v>273</v>
      </c>
      <c r="D88" t="str">
        <f>HYPERLINK("https://browser.ihtsdotools.org/?perspective=full&amp;conceptId1=305682005&amp;edition=MAIN/SNOMEDCT-US/2020-03-01&amp;release=&amp;languages=en","305682005")</f>
        <v>305682005</v>
      </c>
      <c r="E88" t="str">
        <f>HYPERLINK("https://browser.ihtsdotools.org/?perspective=full&amp;conceptId1=305721007&amp;edition=MAIN/SNOMEDCT-US/2020-03-01&amp;release=&amp;languages=en","305721007")</f>
        <v>305721007</v>
      </c>
      <c r="F88" t="s">
        <v>38</v>
      </c>
      <c r="H88" t="s">
        <v>17</v>
      </c>
      <c r="I88" t="s">
        <v>274</v>
      </c>
    </row>
    <row r="89" spans="1:9" x14ac:dyDescent="0.2">
      <c r="A89">
        <v>88</v>
      </c>
      <c r="B89" t="s">
        <v>275</v>
      </c>
      <c r="C89" t="s">
        <v>276</v>
      </c>
      <c r="D89" t="str">
        <f>HYPERLINK("https://browser.ihtsdotools.org/?perspective=full&amp;conceptId1=3681008&amp;edition=MAIN/SNOMEDCT-US/2020-03-01&amp;release=&amp;languages=en","3681008")</f>
        <v>3681008</v>
      </c>
      <c r="E89" t="str">
        <f>HYPERLINK("https://browser.ihtsdotools.org/?perspective=full&amp;conceptId1=60706008&amp;edition=MAIN/SNOMEDCT-US/2020-03-01&amp;release=&amp;languages=en","60706008")</f>
        <v>60706008</v>
      </c>
      <c r="F89" t="s">
        <v>38</v>
      </c>
      <c r="H89" t="s">
        <v>17</v>
      </c>
      <c r="I89" t="s">
        <v>277</v>
      </c>
    </row>
    <row r="90" spans="1:9" x14ac:dyDescent="0.2">
      <c r="A90">
        <v>89</v>
      </c>
      <c r="B90" t="s">
        <v>278</v>
      </c>
      <c r="C90" t="s">
        <v>279</v>
      </c>
      <c r="D90" t="str">
        <f>HYPERLINK("https://browser.ihtsdotools.org/?perspective=full&amp;conceptId1=299209001&amp;edition=MAIN/SNOMEDCT-US/2020-03-01&amp;release=&amp;languages=en","299209001")</f>
        <v>299209001</v>
      </c>
      <c r="E90" t="str">
        <f>HYPERLINK("https://browser.ihtsdotools.org/?perspective=full&amp;conceptId1=299122004&amp;edition=MAIN/SNOMEDCT-US/2020-03-01&amp;release=&amp;languages=en","299122004")</f>
        <v>299122004</v>
      </c>
      <c r="F90" t="s">
        <v>2</v>
      </c>
      <c r="G90" t="s">
        <v>242</v>
      </c>
      <c r="H90" t="s">
        <v>45</v>
      </c>
      <c r="I90" t="s">
        <v>46</v>
      </c>
    </row>
    <row r="91" spans="1:9" x14ac:dyDescent="0.2">
      <c r="A91">
        <v>90</v>
      </c>
      <c r="B91" t="s">
        <v>280</v>
      </c>
      <c r="C91" t="s">
        <v>281</v>
      </c>
      <c r="D91" t="str">
        <f>HYPERLINK("https://browser.ihtsdotools.org/?perspective=full&amp;conceptId1=733256000&amp;edition=MAIN/SNOMEDCT-US/2020-03-01&amp;release=&amp;languages=en","733256000")</f>
        <v>733256000</v>
      </c>
      <c r="E91" t="str">
        <f>HYPERLINK("https://browser.ihtsdotools.org/?perspective=full&amp;conceptId1=446091003&amp;edition=MAIN/SNOMEDCT-US/2020-03-01&amp;release=&amp;languages=en","446091003")</f>
        <v>446091003</v>
      </c>
      <c r="F91" t="s">
        <v>2</v>
      </c>
      <c r="G91" t="s">
        <v>242</v>
      </c>
      <c r="H91" t="s">
        <v>45</v>
      </c>
      <c r="I91" t="s">
        <v>46</v>
      </c>
    </row>
    <row r="92" spans="1:9" x14ac:dyDescent="0.2">
      <c r="A92">
        <v>91</v>
      </c>
      <c r="B92" t="s">
        <v>282</v>
      </c>
      <c r="C92" t="s">
        <v>283</v>
      </c>
      <c r="D92" t="str">
        <f>HYPERLINK("https://browser.ihtsdotools.org/?perspective=full&amp;conceptId1=33534005&amp;edition=MAIN/SNOMEDCT-US/2020-03-01&amp;release=&amp;languages=en","33534005")</f>
        <v>33534005</v>
      </c>
      <c r="E92" t="str">
        <f>HYPERLINK("https://browser.ihtsdotools.org/?perspective=full&amp;conceptId1=716098006&amp;edition=MAIN/SNOMEDCT-US/2020-03-01&amp;release=&amp;languages=en","716098006")</f>
        <v>716098006</v>
      </c>
      <c r="F92" t="s">
        <v>38</v>
      </c>
      <c r="H92" t="s">
        <v>30</v>
      </c>
      <c r="I92" t="s">
        <v>284</v>
      </c>
    </row>
    <row r="93" spans="1:9" x14ac:dyDescent="0.2">
      <c r="A93">
        <v>92</v>
      </c>
      <c r="B93" t="s">
        <v>285</v>
      </c>
      <c r="C93" t="s">
        <v>286</v>
      </c>
      <c r="D93" t="str">
        <f>HYPERLINK("https://browser.ihtsdotools.org/?perspective=full&amp;conceptId1=410485009&amp;edition=MAIN/SNOMEDCT-US/2020-03-01&amp;release=&amp;languages=en","410485009")</f>
        <v>410485009</v>
      </c>
      <c r="E93" t="str">
        <f>HYPERLINK("https://browser.ihtsdotools.org/?perspective=full&amp;conceptId1=410483002&amp;edition=MAIN/SNOMEDCT-US/2020-03-01&amp;release=&amp;languages=en","410483002")</f>
        <v>410483002</v>
      </c>
      <c r="F93" t="s">
        <v>38</v>
      </c>
      <c r="H93" t="s">
        <v>9</v>
      </c>
      <c r="I93" t="s">
        <v>287</v>
      </c>
    </row>
    <row r="94" spans="1:9" x14ac:dyDescent="0.2">
      <c r="A94">
        <v>93</v>
      </c>
      <c r="B94" t="s">
        <v>288</v>
      </c>
      <c r="C94" t="s">
        <v>146</v>
      </c>
      <c r="D94" t="str">
        <f>HYPERLINK("https://browser.ihtsdotools.org/?perspective=full&amp;conceptId1=124593001&amp;edition=MAIN/SNOMEDCT-US/2020-03-01&amp;release=&amp;languages=en","124593001")</f>
        <v>124593001</v>
      </c>
      <c r="E94" t="str">
        <f>HYPERLINK("https://browser.ihtsdotools.org/?perspective=full&amp;conceptId1=124592006&amp;edition=MAIN/SNOMEDCT-US/2020-03-01&amp;release=&amp;languages=en","124592006")</f>
        <v>124592006</v>
      </c>
      <c r="F94" t="s">
        <v>38</v>
      </c>
      <c r="H94" t="s">
        <v>17</v>
      </c>
      <c r="I94" t="s">
        <v>289</v>
      </c>
    </row>
    <row r="95" spans="1:9" x14ac:dyDescent="0.2">
      <c r="A95">
        <v>94</v>
      </c>
      <c r="B95" t="s">
        <v>290</v>
      </c>
      <c r="C95" t="s">
        <v>291</v>
      </c>
      <c r="D95" t="str">
        <f>HYPERLINK("https://browser.ihtsdotools.org/?perspective=full&amp;conceptId1=92112008&amp;edition=MAIN/SNOMEDCT-US/2020-03-01&amp;release=&amp;languages=en","92112008")</f>
        <v>92112008</v>
      </c>
      <c r="E95" t="str">
        <f>HYPERLINK("https://browser.ihtsdotools.org/?perspective=full&amp;conceptId1=92384009&amp;edition=MAIN/SNOMEDCT-US/2020-03-01&amp;release=&amp;languages=en","92384009")</f>
        <v>92384009</v>
      </c>
      <c r="F95" t="s">
        <v>38</v>
      </c>
      <c r="H95" t="s">
        <v>4</v>
      </c>
      <c r="I95" t="s">
        <v>292</v>
      </c>
    </row>
    <row r="96" spans="1:9" x14ac:dyDescent="0.2">
      <c r="A96">
        <v>95</v>
      </c>
      <c r="B96" t="s">
        <v>293</v>
      </c>
      <c r="C96" t="s">
        <v>294</v>
      </c>
      <c r="D96" t="str">
        <f>HYPERLINK("https://browser.ihtsdotools.org/?perspective=full&amp;conceptId1=84208005&amp;edition=MAIN/SNOMEDCT-US/2020-03-01&amp;release=&amp;languages=en","84208005")</f>
        <v>84208005</v>
      </c>
      <c r="E96" t="str">
        <f>HYPERLINK("https://browser.ihtsdotools.org/?perspective=full&amp;conceptId1=44707000&amp;edition=MAIN/SNOMEDCT-US/2020-03-01&amp;release=&amp;languages=en","44707000")</f>
        <v>44707000</v>
      </c>
      <c r="F96" t="s">
        <v>38</v>
      </c>
      <c r="H96" t="s">
        <v>9</v>
      </c>
      <c r="I96" t="s">
        <v>80</v>
      </c>
    </row>
    <row r="97" spans="1:11" x14ac:dyDescent="0.2">
      <c r="A97">
        <v>96</v>
      </c>
      <c r="B97" t="s">
        <v>295</v>
      </c>
      <c r="C97" t="s">
        <v>296</v>
      </c>
      <c r="D97" t="str">
        <f>HYPERLINK("https://browser.ihtsdotools.org/?perspective=full&amp;conceptId1=724979009&amp;edition=MAIN/SNOMEDCT-US/2020-03-01&amp;release=&amp;languages=en","724979009")</f>
        <v>724979009</v>
      </c>
      <c r="E97" t="str">
        <f>HYPERLINK("https://browser.ihtsdotools.org/?perspective=full&amp;conceptId1=724973005&amp;edition=MAIN/SNOMEDCT-US/2020-03-01&amp;release=&amp;languages=en","724973005")</f>
        <v>724973005</v>
      </c>
      <c r="F97" t="s">
        <v>38</v>
      </c>
      <c r="H97" t="s">
        <v>4</v>
      </c>
      <c r="I97" t="s">
        <v>297</v>
      </c>
    </row>
    <row r="98" spans="1:11" x14ac:dyDescent="0.2">
      <c r="A98">
        <v>97</v>
      </c>
      <c r="B98" t="s">
        <v>298</v>
      </c>
      <c r="C98" t="s">
        <v>299</v>
      </c>
      <c r="D98" t="str">
        <f>HYPERLINK("https://browser.ihtsdotools.org/?perspective=full&amp;conceptId1=315047001&amp;edition=MAIN/SNOMEDCT-US/2020-03-01&amp;release=&amp;languages=en","315047001")</f>
        <v>315047001</v>
      </c>
      <c r="E98" t="str">
        <f>HYPERLINK("https://browser.ihtsdotools.org/?perspective=full&amp;conceptId1=77768006&amp;edition=MAIN/SNOMEDCT-US/2020-03-01&amp;release=&amp;languages=en","77768006")</f>
        <v>77768006</v>
      </c>
      <c r="F98" t="s">
        <v>38</v>
      </c>
      <c r="H98" t="s">
        <v>17</v>
      </c>
      <c r="I98" t="s">
        <v>300</v>
      </c>
    </row>
    <row r="99" spans="1:11" x14ac:dyDescent="0.2">
      <c r="A99">
        <v>98</v>
      </c>
      <c r="B99" t="s">
        <v>301</v>
      </c>
      <c r="C99" t="s">
        <v>302</v>
      </c>
      <c r="D99" t="str">
        <f>HYPERLINK("https://browser.ihtsdotools.org/?perspective=full&amp;conceptId1=283092000&amp;edition=MAIN/SNOMEDCT-US/2020-03-01&amp;release=&amp;languages=en","283092000")</f>
        <v>283092000</v>
      </c>
      <c r="E99" t="str">
        <f>HYPERLINK("https://browser.ihtsdotools.org/?perspective=full&amp;conceptId1=733371004&amp;edition=MAIN/SNOMEDCT-US/2020-03-01&amp;release=&amp;languages=en","733371004")</f>
        <v>733371004</v>
      </c>
      <c r="F99" t="s">
        <v>38</v>
      </c>
      <c r="H99" t="s">
        <v>17</v>
      </c>
      <c r="I99" t="s">
        <v>303</v>
      </c>
    </row>
    <row r="100" spans="1:11" x14ac:dyDescent="0.2">
      <c r="A100">
        <v>99</v>
      </c>
      <c r="B100" t="s">
        <v>304</v>
      </c>
      <c r="C100" t="s">
        <v>305</v>
      </c>
      <c r="D100" t="str">
        <f>HYPERLINK("https://browser.ihtsdotools.org/?perspective=full&amp;conceptId1=733253008&amp;edition=MAIN/SNOMEDCT-US/2020-03-01&amp;release=&amp;languages=en","733253008")</f>
        <v>733253008</v>
      </c>
      <c r="E100" t="str">
        <f>HYPERLINK("https://browser.ihtsdotools.org/?perspective=full&amp;conceptId1=125619004&amp;edition=MAIN/SNOMEDCT-US/2020-03-01&amp;release=&amp;languages=en","125619004")</f>
        <v>125619004</v>
      </c>
      <c r="F100" t="s">
        <v>2</v>
      </c>
      <c r="G100" t="s">
        <v>242</v>
      </c>
      <c r="H100" t="s">
        <v>30</v>
      </c>
      <c r="I100" t="s">
        <v>306</v>
      </c>
      <c r="J100" t="s">
        <v>307</v>
      </c>
    </row>
    <row r="101" spans="1:11" x14ac:dyDescent="0.2">
      <c r="A101">
        <v>100</v>
      </c>
      <c r="B101" t="s">
        <v>308</v>
      </c>
      <c r="C101" t="s">
        <v>309</v>
      </c>
      <c r="D101" t="str">
        <f>HYPERLINK("https://browser.ihtsdotools.org/?perspective=full&amp;conceptId1=11861801000119106&amp;edition=MAIN/SNOMEDCT-US/2020-03-01&amp;release=&amp;languages=en","11861801000119106")</f>
        <v>11861801000119106</v>
      </c>
      <c r="E101" t="str">
        <f>HYPERLINK("https://browser.ihtsdotools.org/?perspective=full&amp;conceptId1=444158007&amp;edition=MAIN/SNOMEDCT-US/2020-03-01&amp;release=&amp;languages=en","444158007")</f>
        <v>444158007</v>
      </c>
      <c r="F101" t="s">
        <v>38</v>
      </c>
      <c r="H101" t="s">
        <v>30</v>
      </c>
      <c r="I101" t="s">
        <v>310</v>
      </c>
      <c r="J101" t="s">
        <v>311</v>
      </c>
      <c r="K101" t="s">
        <v>312</v>
      </c>
    </row>
    <row r="102" spans="1:11" x14ac:dyDescent="0.2">
      <c r="A102">
        <v>101</v>
      </c>
      <c r="B102" t="s">
        <v>313</v>
      </c>
      <c r="C102" t="s">
        <v>314</v>
      </c>
      <c r="D102" t="str">
        <f>HYPERLINK("https://browser.ihtsdotools.org/?perspective=full&amp;conceptId1=124365001&amp;edition=MAIN/SNOMEDCT-US/2020-03-01&amp;release=&amp;languages=en","124365001")</f>
        <v>124365001</v>
      </c>
      <c r="E102" t="str">
        <f>HYPERLINK("https://browser.ihtsdotools.org/?perspective=full&amp;conceptId1=124404001&amp;edition=MAIN/SNOMEDCT-US/2020-03-01&amp;release=&amp;languages=en","124404001")</f>
        <v>124404001</v>
      </c>
      <c r="F102" t="s">
        <v>38</v>
      </c>
      <c r="H102" t="s">
        <v>17</v>
      </c>
      <c r="I102" t="s">
        <v>315</v>
      </c>
    </row>
    <row r="103" spans="1:11" x14ac:dyDescent="0.2">
      <c r="A103">
        <v>102</v>
      </c>
      <c r="B103" t="s">
        <v>316</v>
      </c>
      <c r="C103" t="s">
        <v>317</v>
      </c>
      <c r="D103" t="str">
        <f>HYPERLINK("https://browser.ihtsdotools.org/?perspective=full&amp;conceptId1=293940009&amp;edition=MAIN/SNOMEDCT-US/2020-03-01&amp;release=&amp;languages=en","293940009")</f>
        <v>293940009</v>
      </c>
      <c r="E103" t="str">
        <f>HYPERLINK("https://browser.ihtsdotools.org/?perspective=full&amp;conceptId1=293928009&amp;edition=MAIN/SNOMEDCT-US/2020-03-01&amp;release=&amp;languages=en","293928009")</f>
        <v>293928009</v>
      </c>
      <c r="F103" t="s">
        <v>38</v>
      </c>
      <c r="H103" t="s">
        <v>4</v>
      </c>
      <c r="I103" t="s">
        <v>318</v>
      </c>
    </row>
    <row r="104" spans="1:11" x14ac:dyDescent="0.2">
      <c r="A104">
        <v>103</v>
      </c>
      <c r="B104" t="s">
        <v>319</v>
      </c>
      <c r="C104" t="s">
        <v>320</v>
      </c>
      <c r="D104" t="str">
        <f>HYPERLINK("https://browser.ihtsdotools.org/?perspective=full&amp;conceptId1=348061000119100&amp;edition=MAIN/SNOMEDCT-US/2020-03-01&amp;release=&amp;languages=en","348061000119100")</f>
        <v>348061000119100</v>
      </c>
      <c r="E104" t="str">
        <f>HYPERLINK("https://browser.ihtsdotools.org/?perspective=full&amp;conceptId1=348021000119105&amp;edition=MAIN/SNOMEDCT-US/2020-03-01&amp;release=&amp;languages=en","348021000119105")</f>
        <v>348021000119105</v>
      </c>
      <c r="F104" t="s">
        <v>38</v>
      </c>
      <c r="H104" t="s">
        <v>17</v>
      </c>
      <c r="I104" t="s">
        <v>321</v>
      </c>
    </row>
    <row r="105" spans="1:11" x14ac:dyDescent="0.2">
      <c r="A105">
        <v>104</v>
      </c>
      <c r="B105" t="s">
        <v>322</v>
      </c>
      <c r="C105" t="s">
        <v>323</v>
      </c>
      <c r="D105" t="str">
        <f>HYPERLINK("https://browser.ihtsdotools.org/?perspective=full&amp;conceptId1=124153007&amp;edition=MAIN/SNOMEDCT-US/2020-03-01&amp;release=&amp;languages=en","124153007")</f>
        <v>124153007</v>
      </c>
      <c r="E105" t="str">
        <f>HYPERLINK("https://browser.ihtsdotools.org/?perspective=full&amp;conceptId1=124226002&amp;edition=MAIN/SNOMEDCT-US/2020-03-01&amp;release=&amp;languages=en","124226002")</f>
        <v>124226002</v>
      </c>
      <c r="F105" t="s">
        <v>38</v>
      </c>
      <c r="H105" t="s">
        <v>17</v>
      </c>
      <c r="I105" t="s">
        <v>324</v>
      </c>
    </row>
    <row r="106" spans="1:11" x14ac:dyDescent="0.2">
      <c r="A106">
        <v>105</v>
      </c>
      <c r="B106" t="s">
        <v>325</v>
      </c>
      <c r="C106" t="s">
        <v>326</v>
      </c>
      <c r="D106" t="str">
        <f>HYPERLINK("https://browser.ihtsdotools.org/?perspective=full&amp;conceptId1=402249007&amp;edition=MAIN/SNOMEDCT-US/2020-03-01&amp;release=&amp;languages=en","402249007")</f>
        <v>402249007</v>
      </c>
      <c r="E106" t="str">
        <f>HYPERLINK("https://browser.ihtsdotools.org/?perspective=full&amp;conceptId1=68670009&amp;edition=MAIN/SNOMEDCT-US/2020-03-01&amp;release=&amp;languages=en","68670009")</f>
        <v>68670009</v>
      </c>
      <c r="F106" t="s">
        <v>38</v>
      </c>
      <c r="H106" t="s">
        <v>49</v>
      </c>
      <c r="I106" t="s">
        <v>327</v>
      </c>
    </row>
    <row r="107" spans="1:11" x14ac:dyDescent="0.2">
      <c r="A107">
        <v>106</v>
      </c>
      <c r="B107" t="s">
        <v>328</v>
      </c>
      <c r="C107" t="s">
        <v>329</v>
      </c>
      <c r="D107" t="str">
        <f>HYPERLINK("https://browser.ihtsdotools.org/?perspective=full&amp;conceptId1=1074451000119102&amp;edition=MAIN/SNOMEDCT-US/2020-03-01&amp;release=&amp;languages=en","1074451000119102")</f>
        <v>1074451000119102</v>
      </c>
      <c r="E107" t="str">
        <f>HYPERLINK("https://browser.ihtsdotools.org/?perspective=full&amp;conceptId1=1074661000119103&amp;edition=MAIN/SNOMEDCT-US/2020-03-01&amp;release=&amp;languages=en","1074661000119103")</f>
        <v>1074661000119103</v>
      </c>
      <c r="F107" t="s">
        <v>38</v>
      </c>
      <c r="H107" t="s">
        <v>246</v>
      </c>
      <c r="I107" t="s">
        <v>247</v>
      </c>
    </row>
    <row r="108" spans="1:11" x14ac:dyDescent="0.2">
      <c r="A108">
        <v>107</v>
      </c>
      <c r="B108" t="s">
        <v>330</v>
      </c>
      <c r="C108" t="s">
        <v>151</v>
      </c>
      <c r="D108" t="str">
        <f>HYPERLINK("https://browser.ihtsdotools.org/?perspective=full&amp;conceptId1=124680001&amp;edition=MAIN/SNOMEDCT-US/2020-03-01&amp;release=&amp;languages=en","124680001")</f>
        <v>124680001</v>
      </c>
      <c r="E108" t="str">
        <f>HYPERLINK("https://browser.ihtsdotools.org/?perspective=full&amp;conceptId1=124657009&amp;edition=MAIN/SNOMEDCT-US/2020-03-01&amp;release=&amp;languages=en","124657009")</f>
        <v>124657009</v>
      </c>
      <c r="F108" t="s">
        <v>38</v>
      </c>
      <c r="H108" t="s">
        <v>17</v>
      </c>
      <c r="I108" t="s">
        <v>331</v>
      </c>
    </row>
    <row r="109" spans="1:11" x14ac:dyDescent="0.2">
      <c r="A109">
        <v>108</v>
      </c>
      <c r="B109" t="s">
        <v>332</v>
      </c>
      <c r="C109" t="s">
        <v>154</v>
      </c>
      <c r="D109" t="str">
        <f>HYPERLINK("https://browser.ihtsdotools.org/?perspective=full&amp;conceptId1=124689000&amp;edition=MAIN/SNOMEDCT-US/2020-03-01&amp;release=&amp;languages=en","124689000")</f>
        <v>124689000</v>
      </c>
      <c r="E109" t="str">
        <f>HYPERLINK("https://browser.ihtsdotools.org/?perspective=full&amp;conceptId1=124687003&amp;edition=MAIN/SNOMEDCT-US/2020-03-01&amp;release=&amp;languages=en","124687003")</f>
        <v>124687003</v>
      </c>
      <c r="F109" t="s">
        <v>38</v>
      </c>
      <c r="H109" t="s">
        <v>17</v>
      </c>
      <c r="I109" t="s">
        <v>333</v>
      </c>
    </row>
    <row r="110" spans="1:11" x14ac:dyDescent="0.2">
      <c r="A110">
        <v>109</v>
      </c>
      <c r="B110" t="s">
        <v>334</v>
      </c>
      <c r="C110" t="s">
        <v>140</v>
      </c>
      <c r="D110" t="str">
        <f>HYPERLINK("https://browser.ihtsdotools.org/?perspective=full&amp;conceptId1=124573009&amp;edition=MAIN/SNOMEDCT-US/2020-03-01&amp;release=&amp;languages=en","124573009")</f>
        <v>124573009</v>
      </c>
      <c r="E110" t="str">
        <f>HYPERLINK("https://browser.ihtsdotools.org/?perspective=full&amp;conceptId1=124407008&amp;edition=MAIN/SNOMEDCT-US/2020-03-01&amp;release=&amp;languages=en","124407008")</f>
        <v>124407008</v>
      </c>
      <c r="F110" t="s">
        <v>38</v>
      </c>
      <c r="H110" t="s">
        <v>4</v>
      </c>
      <c r="I110" t="s">
        <v>335</v>
      </c>
    </row>
    <row r="111" spans="1:11" x14ac:dyDescent="0.2">
      <c r="A111">
        <v>110</v>
      </c>
      <c r="B111" t="s">
        <v>336</v>
      </c>
      <c r="C111" t="s">
        <v>337</v>
      </c>
      <c r="D111" t="str">
        <f>HYPERLINK("https://browser.ihtsdotools.org/?perspective=full&amp;conceptId1=198227006&amp;edition=MAIN/SNOMEDCT-US/2020-03-01&amp;release=&amp;languages=en","198227006")</f>
        <v>198227006</v>
      </c>
      <c r="E111" t="str">
        <f>HYPERLINK("https://browser.ihtsdotools.org/?perspective=full&amp;conceptId1=371347004&amp;edition=MAIN/SNOMEDCT-US/2020-03-01&amp;release=&amp;languages=en","371347004")</f>
        <v>371347004</v>
      </c>
      <c r="F111" t="s">
        <v>38</v>
      </c>
      <c r="H111" t="s">
        <v>17</v>
      </c>
      <c r="I111" t="s">
        <v>338</v>
      </c>
    </row>
    <row r="112" spans="1:11" x14ac:dyDescent="0.2">
      <c r="A112">
        <v>111</v>
      </c>
      <c r="B112" t="s">
        <v>339</v>
      </c>
      <c r="C112" t="s">
        <v>340</v>
      </c>
      <c r="D112" t="str">
        <f>HYPERLINK("https://browser.ihtsdotools.org/?perspective=full&amp;conceptId1=225561003&amp;edition=MAIN/SNOMEDCT-US/2020-03-01&amp;release=&amp;languages=en","225561003")</f>
        <v>225561003</v>
      </c>
      <c r="E112" t="str">
        <f>HYPERLINK("https://browser.ihtsdotools.org/?perspective=full&amp;conceptId1=10635431000119108&amp;edition=MAIN/SNOMEDCT-US/2020-03-01&amp;release=&amp;languages=en","10635431000119108")</f>
        <v>10635431000119108</v>
      </c>
      <c r="F112" t="s">
        <v>38</v>
      </c>
      <c r="H112" t="s">
        <v>17</v>
      </c>
      <c r="I112" t="s">
        <v>341</v>
      </c>
    </row>
    <row r="113" spans="1:9" x14ac:dyDescent="0.2">
      <c r="A113">
        <v>112</v>
      </c>
      <c r="B113" t="s">
        <v>342</v>
      </c>
      <c r="C113" t="s">
        <v>343</v>
      </c>
      <c r="D113" t="str">
        <f>HYPERLINK("https://browser.ihtsdotools.org/?perspective=full&amp;conceptId1=329731000119100&amp;edition=MAIN/SNOMEDCT-US/2020-03-01&amp;release=&amp;languages=en","329731000119100")</f>
        <v>329731000119100</v>
      </c>
      <c r="E113" t="str">
        <f>HYPERLINK("https://browser.ihtsdotools.org/?perspective=full&amp;conceptId1=292781000119106&amp;edition=MAIN/SNOMEDCT-US/2020-03-01&amp;release=&amp;languages=en","292781000119106")</f>
        <v>292781000119106</v>
      </c>
      <c r="F113" t="s">
        <v>38</v>
      </c>
      <c r="H113" t="s">
        <v>17</v>
      </c>
      <c r="I113" t="s">
        <v>344</v>
      </c>
    </row>
    <row r="114" spans="1:9" x14ac:dyDescent="0.2">
      <c r="A114">
        <v>113</v>
      </c>
      <c r="B114" t="s">
        <v>345</v>
      </c>
      <c r="C114" t="s">
        <v>346</v>
      </c>
      <c r="D114" t="str">
        <f>HYPERLINK("https://browser.ihtsdotools.org/?perspective=full&amp;conceptId1=30072009&amp;edition=MAIN/SNOMEDCT-US/2020-03-01&amp;release=&amp;languages=en","30072009")</f>
        <v>30072009</v>
      </c>
      <c r="E114" t="str">
        <f>HYPERLINK("https://browser.ihtsdotools.org/?perspective=full&amp;conceptId1=91029006&amp;edition=MAIN/SNOMEDCT-US/2020-03-01&amp;release=&amp;languages=en","91029006")</f>
        <v>91029006</v>
      </c>
      <c r="F114" t="s">
        <v>38</v>
      </c>
      <c r="H114" t="s">
        <v>17</v>
      </c>
      <c r="I114" t="s">
        <v>39</v>
      </c>
    </row>
    <row r="115" spans="1:9" x14ac:dyDescent="0.2">
      <c r="A115">
        <v>114</v>
      </c>
      <c r="B115" t="s">
        <v>347</v>
      </c>
      <c r="C115" t="s">
        <v>348</v>
      </c>
      <c r="D115" t="str">
        <f>HYPERLINK("https://browser.ihtsdotools.org/?perspective=full&amp;conceptId1=263111004&amp;edition=MAIN/SNOMEDCT-US/2020-03-01&amp;release=&amp;languages=en","263111004")</f>
        <v>263111004</v>
      </c>
      <c r="E115" t="str">
        <f>HYPERLINK("https://browser.ihtsdotools.org/?perspective=full&amp;conceptId1=263110003&amp;edition=MAIN/SNOMEDCT-US/2020-03-01&amp;release=&amp;languages=en","263110003")</f>
        <v>263110003</v>
      </c>
      <c r="F115" t="s">
        <v>2</v>
      </c>
      <c r="G115" t="s">
        <v>242</v>
      </c>
      <c r="H115" t="s">
        <v>45</v>
      </c>
      <c r="I115" t="s">
        <v>46</v>
      </c>
    </row>
    <row r="116" spans="1:9" x14ac:dyDescent="0.2">
      <c r="A116">
        <v>115</v>
      </c>
      <c r="B116" t="s">
        <v>349</v>
      </c>
      <c r="C116" t="s">
        <v>350</v>
      </c>
      <c r="D116" t="str">
        <f>HYPERLINK("https://browser.ihtsdotools.org/?perspective=full&amp;conceptId1=338651000119109&amp;edition=MAIN/SNOMEDCT-US/2020-03-01&amp;release=&amp;languages=en","338651000119109")</f>
        <v>338651000119109</v>
      </c>
      <c r="E116" t="str">
        <f>HYPERLINK("https://browser.ihtsdotools.org/?perspective=full&amp;conceptId1=246181000119100&amp;edition=MAIN/SNOMEDCT-US/2020-03-01&amp;release=&amp;languages=en","246181000119100")</f>
        <v>246181000119100</v>
      </c>
      <c r="F116" t="s">
        <v>38</v>
      </c>
      <c r="H116" t="s">
        <v>30</v>
      </c>
      <c r="I116" t="s">
        <v>351</v>
      </c>
    </row>
    <row r="117" spans="1:9" x14ac:dyDescent="0.2">
      <c r="A117">
        <v>116</v>
      </c>
      <c r="B117" t="s">
        <v>352</v>
      </c>
      <c r="C117" t="s">
        <v>353</v>
      </c>
      <c r="D117" t="str">
        <f>HYPERLINK("https://browser.ihtsdotools.org/?perspective=full&amp;conceptId1=11799851000119108&amp;edition=MAIN/SNOMEDCT-US/2020-03-01&amp;release=&amp;languages=en","11799851000119108")</f>
        <v>11799851000119108</v>
      </c>
      <c r="E117" t="str">
        <f>HYPERLINK("https://browser.ihtsdotools.org/?perspective=full&amp;conceptId1=5753006&amp;edition=MAIN/SNOMEDCT-US/2020-03-01&amp;release=&amp;languages=en","5753006")</f>
        <v>5753006</v>
      </c>
      <c r="F117" t="s">
        <v>38</v>
      </c>
      <c r="H117" t="s">
        <v>30</v>
      </c>
      <c r="I117" t="s">
        <v>354</v>
      </c>
    </row>
    <row r="118" spans="1:9" x14ac:dyDescent="0.2">
      <c r="A118">
        <v>117</v>
      </c>
      <c r="B118" t="s">
        <v>355</v>
      </c>
      <c r="C118" t="s">
        <v>140</v>
      </c>
      <c r="D118" t="str">
        <f>HYPERLINK("https://browser.ihtsdotools.org/?perspective=full&amp;conceptId1=124505003&amp;edition=MAIN/SNOMEDCT-US/2020-03-01&amp;release=&amp;languages=en","124505003")</f>
        <v>124505003</v>
      </c>
      <c r="E118" t="str">
        <f>HYPERLINK("https://browser.ihtsdotools.org/?perspective=full&amp;conceptId1=124407008&amp;edition=MAIN/SNOMEDCT-US/2020-03-01&amp;release=&amp;languages=en","124407008")</f>
        <v>124407008</v>
      </c>
      <c r="F118" t="s">
        <v>38</v>
      </c>
      <c r="H118" t="s">
        <v>17</v>
      </c>
      <c r="I118" t="s">
        <v>356</v>
      </c>
    </row>
    <row r="119" spans="1:9" x14ac:dyDescent="0.2">
      <c r="A119">
        <v>118</v>
      </c>
      <c r="B119" t="s">
        <v>357</v>
      </c>
      <c r="C119" t="s">
        <v>129</v>
      </c>
      <c r="D119" t="str">
        <f>HYPERLINK("https://browser.ihtsdotools.org/?perspective=full&amp;conceptId1=92962004&amp;edition=MAIN/SNOMEDCT-US/2020-03-01&amp;release=&amp;languages=en","92962004")</f>
        <v>92962004</v>
      </c>
      <c r="E119" t="str">
        <f>HYPERLINK("https://browser.ihtsdotools.org/?perspective=full&amp;conceptId1=91605000&amp;edition=MAIN/SNOMEDCT-US/2020-03-01&amp;release=&amp;languages=en","91605000")</f>
        <v>91605000</v>
      </c>
      <c r="F119" t="s">
        <v>38</v>
      </c>
      <c r="H119" t="s">
        <v>4</v>
      </c>
      <c r="I119" t="s">
        <v>358</v>
      </c>
    </row>
    <row r="120" spans="1:9" x14ac:dyDescent="0.2">
      <c r="A120">
        <v>119</v>
      </c>
      <c r="B120" t="s">
        <v>359</v>
      </c>
      <c r="C120" t="s">
        <v>140</v>
      </c>
      <c r="D120" t="str">
        <f>HYPERLINK("https://browser.ihtsdotools.org/?perspective=full&amp;conceptId1=124565000&amp;edition=MAIN/SNOMEDCT-US/2020-03-01&amp;release=&amp;languages=en","124565000")</f>
        <v>124565000</v>
      </c>
      <c r="E120" t="str">
        <f>HYPERLINK("https://browser.ihtsdotools.org/?perspective=full&amp;conceptId1=124407008&amp;edition=MAIN/SNOMEDCT-US/2020-03-01&amp;release=&amp;languages=en","124407008")</f>
        <v>124407008</v>
      </c>
      <c r="F120" t="s">
        <v>38</v>
      </c>
      <c r="H120" t="s">
        <v>17</v>
      </c>
      <c r="I120" t="s">
        <v>360</v>
      </c>
    </row>
    <row r="121" spans="1:9" x14ac:dyDescent="0.2">
      <c r="A121">
        <v>120</v>
      </c>
      <c r="B121" t="s">
        <v>361</v>
      </c>
      <c r="C121" t="s">
        <v>317</v>
      </c>
      <c r="D121" t="str">
        <f>HYPERLINK("https://browser.ihtsdotools.org/?perspective=full&amp;conceptId1=293941008&amp;edition=MAIN/SNOMEDCT-US/2020-03-01&amp;release=&amp;languages=en","293941008")</f>
        <v>293941008</v>
      </c>
      <c r="E121" t="str">
        <f>HYPERLINK("https://browser.ihtsdotools.org/?perspective=full&amp;conceptId1=293928009&amp;edition=MAIN/SNOMEDCT-US/2020-03-01&amp;release=&amp;languages=en","293928009")</f>
        <v>293928009</v>
      </c>
      <c r="F121" t="s">
        <v>38</v>
      </c>
      <c r="H121" t="s">
        <v>4</v>
      </c>
      <c r="I121" t="s">
        <v>362</v>
      </c>
    </row>
    <row r="122" spans="1:9" x14ac:dyDescent="0.2">
      <c r="A122">
        <v>121</v>
      </c>
      <c r="B122" t="s">
        <v>363</v>
      </c>
      <c r="C122" t="s">
        <v>323</v>
      </c>
      <c r="D122" t="str">
        <f>HYPERLINK("https://browser.ihtsdotools.org/?perspective=full&amp;conceptId1=124124006&amp;edition=MAIN/SNOMEDCT-US/2020-03-01&amp;release=&amp;languages=en","124124006")</f>
        <v>124124006</v>
      </c>
      <c r="E122" t="str">
        <f>HYPERLINK("https://browser.ihtsdotools.org/?perspective=full&amp;conceptId1=124226002&amp;edition=MAIN/SNOMEDCT-US/2020-03-01&amp;release=&amp;languages=en","124226002")</f>
        <v>124226002</v>
      </c>
      <c r="F122" t="s">
        <v>38</v>
      </c>
      <c r="H122" t="s">
        <v>17</v>
      </c>
      <c r="I122" t="s">
        <v>364</v>
      </c>
    </row>
    <row r="123" spans="1:9" x14ac:dyDescent="0.2">
      <c r="A123">
        <v>122</v>
      </c>
      <c r="B123" t="s">
        <v>365</v>
      </c>
      <c r="C123" t="s">
        <v>366</v>
      </c>
      <c r="D123" t="str">
        <f>HYPERLINK("https://browser.ihtsdotools.org/?perspective=full&amp;conceptId1=721793008&amp;edition=MAIN/SNOMEDCT-US/2020-03-01&amp;release=&amp;languages=en","721793008")</f>
        <v>721793008</v>
      </c>
      <c r="E123" t="str">
        <f>HYPERLINK("https://browser.ihtsdotools.org/?perspective=full&amp;conceptId1=721803008&amp;edition=MAIN/SNOMEDCT-US/2020-03-01&amp;release=&amp;languages=en","721803008")</f>
        <v>721803008</v>
      </c>
      <c r="F123" t="s">
        <v>38</v>
      </c>
      <c r="H123" t="s">
        <v>17</v>
      </c>
      <c r="I123" t="s">
        <v>367</v>
      </c>
    </row>
    <row r="124" spans="1:9" x14ac:dyDescent="0.2">
      <c r="A124">
        <v>123</v>
      </c>
      <c r="B124" t="s">
        <v>368</v>
      </c>
      <c r="C124" t="s">
        <v>369</v>
      </c>
      <c r="D124" t="str">
        <f>HYPERLINK("https://browser.ihtsdotools.org/?perspective=full&amp;conceptId1=213215000&amp;edition=MAIN/SNOMEDCT-US/2020-03-01&amp;release=&amp;languages=en","213215000")</f>
        <v>213215000</v>
      </c>
      <c r="E124" t="str">
        <f>HYPERLINK("https://browser.ihtsdotools.org/?perspective=full&amp;conceptId1=233924009&amp;edition=MAIN/SNOMEDCT-US/2020-03-01&amp;release=&amp;languages=en","233924009")</f>
        <v>233924009</v>
      </c>
      <c r="F124" t="s">
        <v>38</v>
      </c>
      <c r="G124" t="s">
        <v>370</v>
      </c>
      <c r="H124" t="s">
        <v>17</v>
      </c>
      <c r="I124" t="s">
        <v>371</v>
      </c>
    </row>
    <row r="125" spans="1:9" x14ac:dyDescent="0.2">
      <c r="A125">
        <v>124</v>
      </c>
      <c r="B125" t="s">
        <v>372</v>
      </c>
      <c r="C125" t="s">
        <v>373</v>
      </c>
      <c r="D125" t="str">
        <f>HYPERLINK("https://browser.ihtsdotools.org/?perspective=full&amp;conceptId1=323481000119109&amp;edition=MAIN/SNOMEDCT-US/2020-03-01&amp;release=&amp;languages=en","323481000119109")</f>
        <v>323481000119109</v>
      </c>
      <c r="E125" t="str">
        <f>HYPERLINK("https://browser.ihtsdotools.org/?perspective=full&amp;conceptId1=15741881000119106&amp;edition=MAIN/SNOMEDCT-US/2020-03-01&amp;release=&amp;languages=en","15741881000119106")</f>
        <v>15741881000119106</v>
      </c>
      <c r="F125" t="s">
        <v>38</v>
      </c>
      <c r="H125" t="s">
        <v>17</v>
      </c>
      <c r="I125" t="s">
        <v>374</v>
      </c>
    </row>
    <row r="126" spans="1:9" x14ac:dyDescent="0.2">
      <c r="A126">
        <v>125</v>
      </c>
      <c r="B126" t="s">
        <v>375</v>
      </c>
      <c r="C126" t="s">
        <v>84</v>
      </c>
      <c r="D126" t="str">
        <f>HYPERLINK("https://browser.ihtsdotools.org/?perspective=full&amp;conceptId1=78794000&amp;edition=MAIN/SNOMEDCT-US/2020-03-01&amp;release=&amp;languages=en","78794000")</f>
        <v>78794000</v>
      </c>
      <c r="E126" t="str">
        <f>HYPERLINK("https://browser.ihtsdotools.org/?perspective=full&amp;conceptId1=28388008&amp;edition=MAIN/SNOMEDCT-US/2020-03-01&amp;release=&amp;languages=en","28388008")</f>
        <v>28388008</v>
      </c>
      <c r="F126" t="s">
        <v>38</v>
      </c>
      <c r="H126" t="s">
        <v>17</v>
      </c>
      <c r="I126" t="s">
        <v>39</v>
      </c>
    </row>
    <row r="127" spans="1:9" x14ac:dyDescent="0.2">
      <c r="A127">
        <v>126</v>
      </c>
      <c r="B127" t="s">
        <v>376</v>
      </c>
      <c r="C127" t="s">
        <v>377</v>
      </c>
      <c r="D127" t="str">
        <f>HYPERLINK("https://browser.ihtsdotools.org/?perspective=full&amp;conceptId1=394671009&amp;edition=MAIN/SNOMEDCT-US/2020-03-01&amp;release=&amp;languages=en","394671009")</f>
        <v>394671009</v>
      </c>
      <c r="E127" t="str">
        <f>HYPERLINK("https://browser.ihtsdotools.org/?perspective=full&amp;conceptId1=308105005&amp;edition=MAIN/SNOMEDCT-US/2020-03-01&amp;release=&amp;languages=en","308105005")</f>
        <v>308105005</v>
      </c>
      <c r="F127" t="s">
        <v>2</v>
      </c>
      <c r="G127" t="s">
        <v>378</v>
      </c>
      <c r="H127" t="s">
        <v>4</v>
      </c>
      <c r="I127" t="s">
        <v>379</v>
      </c>
    </row>
    <row r="128" spans="1:9" x14ac:dyDescent="0.2">
      <c r="A128">
        <v>127</v>
      </c>
      <c r="B128" t="s">
        <v>380</v>
      </c>
      <c r="C128" t="s">
        <v>381</v>
      </c>
      <c r="D128" t="str">
        <f>HYPERLINK("https://browser.ihtsdotools.org/?perspective=full&amp;conceptId1=23091000175103&amp;edition=MAIN/SNOMEDCT-US/2020-03-01&amp;release=&amp;languages=en","23091000175103")</f>
        <v>23091000175103</v>
      </c>
      <c r="E128" t="str">
        <f>HYPERLINK("https://browser.ihtsdotools.org/?perspective=full&amp;conceptId1=81405006&amp;edition=MAIN/SNOMEDCT-US/2020-03-01&amp;release=&amp;languages=en","81405006")</f>
        <v>81405006</v>
      </c>
      <c r="F128" t="s">
        <v>38</v>
      </c>
      <c r="H128" t="s">
        <v>17</v>
      </c>
      <c r="I128" t="s">
        <v>199</v>
      </c>
    </row>
    <row r="129" spans="1:9" x14ac:dyDescent="0.2">
      <c r="A129">
        <v>128</v>
      </c>
      <c r="B129" t="s">
        <v>382</v>
      </c>
      <c r="C129" t="s">
        <v>383</v>
      </c>
      <c r="D129" t="str">
        <f>HYPERLINK("https://browser.ihtsdotools.org/?perspective=full&amp;conceptId1=27597005&amp;edition=MAIN/SNOMEDCT-US/2020-03-01&amp;release=&amp;languages=en","27597005")</f>
        <v>27597005</v>
      </c>
      <c r="E129" t="str">
        <f>HYPERLINK("https://browser.ihtsdotools.org/?perspective=full&amp;conceptId1=447106005&amp;edition=MAIN/SNOMEDCT-US/2020-03-01&amp;release=&amp;languages=en","447106005")</f>
        <v>447106005</v>
      </c>
      <c r="F129" t="s">
        <v>38</v>
      </c>
      <c r="H129" t="s">
        <v>4</v>
      </c>
      <c r="I129" t="s">
        <v>384</v>
      </c>
    </row>
    <row r="130" spans="1:9" x14ac:dyDescent="0.2">
      <c r="A130">
        <v>129</v>
      </c>
      <c r="B130" t="s">
        <v>385</v>
      </c>
      <c r="C130" t="s">
        <v>151</v>
      </c>
      <c r="D130" t="str">
        <f>HYPERLINK("https://browser.ihtsdotools.org/?perspective=full&amp;conceptId1=124676006&amp;edition=MAIN/SNOMEDCT-US/2020-03-01&amp;release=&amp;languages=en","124676006")</f>
        <v>124676006</v>
      </c>
      <c r="E130" t="str">
        <f>HYPERLINK("https://browser.ihtsdotools.org/?perspective=full&amp;conceptId1=124657009&amp;edition=MAIN/SNOMEDCT-US/2020-03-01&amp;release=&amp;languages=en","124657009")</f>
        <v>124657009</v>
      </c>
      <c r="F130" t="s">
        <v>38</v>
      </c>
      <c r="H130" t="s">
        <v>17</v>
      </c>
      <c r="I130" t="s">
        <v>386</v>
      </c>
    </row>
    <row r="131" spans="1:9" x14ac:dyDescent="0.2">
      <c r="A131">
        <v>130</v>
      </c>
      <c r="B131" t="s">
        <v>387</v>
      </c>
      <c r="C131" t="s">
        <v>388</v>
      </c>
      <c r="D131" t="str">
        <f>HYPERLINK("https://browser.ihtsdotools.org/?perspective=full&amp;conceptId1=66554005&amp;edition=MAIN/SNOMEDCT-US/2020-03-01&amp;release=&amp;languages=en","66554005")</f>
        <v>66554005</v>
      </c>
      <c r="E131" t="str">
        <f>HYPERLINK("https://browser.ihtsdotools.org/?perspective=full&amp;conceptId1=211792006&amp;edition=MAIN/SNOMEDCT-US/2020-03-01&amp;release=&amp;languages=en","211792006")</f>
        <v>211792006</v>
      </c>
      <c r="F131" t="s">
        <v>38</v>
      </c>
      <c r="H131" t="s">
        <v>4</v>
      </c>
      <c r="I131" t="s">
        <v>87</v>
      </c>
    </row>
    <row r="132" spans="1:9" x14ac:dyDescent="0.2">
      <c r="A132">
        <v>131</v>
      </c>
      <c r="B132" t="s">
        <v>389</v>
      </c>
      <c r="C132" t="s">
        <v>175</v>
      </c>
      <c r="D132" t="str">
        <f>HYPERLINK("https://browser.ihtsdotools.org/?perspective=full&amp;conceptId1=124493003&amp;edition=MAIN/SNOMEDCT-US/2020-03-01&amp;release=&amp;languages=en","124493003")</f>
        <v>124493003</v>
      </c>
      <c r="E132" t="str">
        <f>HYPERLINK("https://browser.ihtsdotools.org/?perspective=full&amp;conceptId1=124563007&amp;edition=MAIN/SNOMEDCT-US/2020-03-01&amp;release=&amp;languages=en","124563007")</f>
        <v>124563007</v>
      </c>
      <c r="F132" t="s">
        <v>38</v>
      </c>
      <c r="H132" t="s">
        <v>17</v>
      </c>
      <c r="I132" t="s">
        <v>390</v>
      </c>
    </row>
    <row r="133" spans="1:9" x14ac:dyDescent="0.2">
      <c r="A133">
        <v>132</v>
      </c>
      <c r="B133" t="s">
        <v>391</v>
      </c>
      <c r="C133" t="s">
        <v>392</v>
      </c>
      <c r="D133" t="str">
        <f>HYPERLINK("https://browser.ihtsdotools.org/?perspective=full&amp;conceptId1=239929007&amp;edition=MAIN/SNOMEDCT-US/2020-03-01&amp;release=&amp;languages=en","239929007")</f>
        <v>239929007</v>
      </c>
      <c r="E133" t="str">
        <f>HYPERLINK("https://browser.ihtsdotools.org/?perspective=full&amp;conceptId1=239925001&amp;edition=MAIN/SNOMEDCT-US/2020-03-01&amp;release=&amp;languages=en","239925001")</f>
        <v>239925001</v>
      </c>
      <c r="F133" t="s">
        <v>38</v>
      </c>
      <c r="H133" t="s">
        <v>53</v>
      </c>
      <c r="I133" t="s">
        <v>393</v>
      </c>
    </row>
    <row r="134" spans="1:9" x14ac:dyDescent="0.2">
      <c r="A134">
        <v>133</v>
      </c>
      <c r="B134" t="s">
        <v>394</v>
      </c>
      <c r="C134" t="s">
        <v>395</v>
      </c>
      <c r="D134" t="str">
        <f>HYPERLINK("https://browser.ihtsdotools.org/?perspective=full&amp;conceptId1=289459009&amp;edition=MAIN/SNOMEDCT-US/2020-03-01&amp;release=&amp;languages=en","289459009")</f>
        <v>289459009</v>
      </c>
      <c r="E134" t="str">
        <f>HYPERLINK("https://browser.ihtsdotools.org/?perspective=full&amp;conceptId1=299659002&amp;edition=MAIN/SNOMEDCT-US/2020-03-01&amp;release=&amp;languages=en","299659002")</f>
        <v>299659002</v>
      </c>
      <c r="F134" t="s">
        <v>38</v>
      </c>
      <c r="H134" t="s">
        <v>45</v>
      </c>
      <c r="I134" t="s">
        <v>396</v>
      </c>
    </row>
    <row r="135" spans="1:9" x14ac:dyDescent="0.2">
      <c r="A135">
        <v>134</v>
      </c>
      <c r="B135" t="s">
        <v>397</v>
      </c>
      <c r="C135" t="s">
        <v>398</v>
      </c>
      <c r="D135" t="str">
        <f>HYPERLINK("https://browser.ihtsdotools.org/?perspective=full&amp;conceptId1=12239831000119101&amp;edition=MAIN/SNOMEDCT-US/2020-03-01&amp;release=&amp;languages=en","12239831000119101")</f>
        <v>12239831000119101</v>
      </c>
      <c r="E135" t="str">
        <f>HYPERLINK("https://browser.ihtsdotools.org/?perspective=full&amp;conceptId1=300671000119108&amp;edition=MAIN/SNOMEDCT-US/2020-03-01&amp;release=&amp;languages=en","300671000119108")</f>
        <v>300671000119108</v>
      </c>
      <c r="F135" t="s">
        <v>38</v>
      </c>
      <c r="H135" t="s">
        <v>17</v>
      </c>
      <c r="I135" t="s">
        <v>399</v>
      </c>
    </row>
    <row r="136" spans="1:9" x14ac:dyDescent="0.2">
      <c r="A136">
        <v>135</v>
      </c>
      <c r="B136" t="s">
        <v>400</v>
      </c>
      <c r="C136" t="s">
        <v>401</v>
      </c>
      <c r="D136" t="str">
        <f>HYPERLINK("https://browser.ihtsdotools.org/?perspective=full&amp;conceptId1=726196006&amp;edition=MAIN/SNOMEDCT-US/2020-03-01&amp;release=&amp;languages=en","726196006")</f>
        <v>726196006</v>
      </c>
      <c r="E136" t="str">
        <f>HYPERLINK("https://browser.ihtsdotools.org/?perspective=full&amp;conceptId1=726205006&amp;edition=MAIN/SNOMEDCT-US/2020-03-01&amp;release=&amp;languages=en","726205006")</f>
        <v>726205006</v>
      </c>
      <c r="F136" t="s">
        <v>2</v>
      </c>
      <c r="G136" t="s">
        <v>242</v>
      </c>
      <c r="H136" t="s">
        <v>45</v>
      </c>
      <c r="I136" t="s">
        <v>46</v>
      </c>
    </row>
    <row r="137" spans="1:9" x14ac:dyDescent="0.2">
      <c r="A137">
        <v>136</v>
      </c>
      <c r="B137" t="s">
        <v>402</v>
      </c>
      <c r="C137" t="s">
        <v>403</v>
      </c>
      <c r="D137" t="str">
        <f>HYPERLINK("https://browser.ihtsdotools.org/?perspective=full&amp;conceptId1=60506006&amp;edition=MAIN/SNOMEDCT-US/2020-03-01&amp;release=&amp;languages=en","60506006")</f>
        <v>60506006</v>
      </c>
      <c r="E137" t="str">
        <f>HYPERLINK("https://browser.ihtsdotools.org/?perspective=full&amp;conceptId1=400213003&amp;edition=MAIN/SNOMEDCT-US/2020-03-01&amp;release=&amp;languages=en","400213003")</f>
        <v>400213003</v>
      </c>
      <c r="F137" t="s">
        <v>38</v>
      </c>
      <c r="H137" t="s">
        <v>4</v>
      </c>
      <c r="I137" t="s">
        <v>404</v>
      </c>
    </row>
    <row r="138" spans="1:9" x14ac:dyDescent="0.2">
      <c r="A138">
        <v>137</v>
      </c>
      <c r="B138" t="s">
        <v>405</v>
      </c>
      <c r="C138" t="s">
        <v>406</v>
      </c>
      <c r="D138" t="str">
        <f>HYPERLINK("https://browser.ihtsdotools.org/?perspective=full&amp;conceptId1=124296008&amp;edition=MAIN/SNOMEDCT-US/2020-03-01&amp;release=&amp;languages=en","124296008")</f>
        <v>124296008</v>
      </c>
      <c r="E138" t="str">
        <f>HYPERLINK("https://browser.ihtsdotools.org/?perspective=full&amp;conceptId1=124237001&amp;edition=MAIN/SNOMEDCT-US/2020-03-01&amp;release=&amp;languages=en","124237001")</f>
        <v>124237001</v>
      </c>
      <c r="F138" t="s">
        <v>38</v>
      </c>
      <c r="H138" t="s">
        <v>17</v>
      </c>
      <c r="I138" t="s">
        <v>407</v>
      </c>
    </row>
    <row r="139" spans="1:9" x14ac:dyDescent="0.2">
      <c r="A139">
        <v>138</v>
      </c>
      <c r="B139" t="s">
        <v>408</v>
      </c>
      <c r="C139" t="s">
        <v>409</v>
      </c>
      <c r="D139" t="str">
        <f>HYPERLINK("https://browser.ihtsdotools.org/?perspective=full&amp;conceptId1=133851000119107&amp;edition=MAIN/SNOMEDCT-US/2020-03-01&amp;release=&amp;languages=en","133851000119107")</f>
        <v>133851000119107</v>
      </c>
      <c r="E139" t="str">
        <f>HYPERLINK("https://browser.ihtsdotools.org/?perspective=full&amp;conceptId1=94058008&amp;edition=MAIN/SNOMEDCT-US/2020-03-01&amp;release=&amp;languages=en","94058008")</f>
        <v>94058008</v>
      </c>
      <c r="F139" t="s">
        <v>38</v>
      </c>
      <c r="H139" t="s">
        <v>17</v>
      </c>
      <c r="I139" t="s">
        <v>410</v>
      </c>
    </row>
    <row r="140" spans="1:9" x14ac:dyDescent="0.2">
      <c r="A140">
        <v>139</v>
      </c>
      <c r="B140" t="s">
        <v>411</v>
      </c>
      <c r="C140" t="s">
        <v>412</v>
      </c>
      <c r="D140" t="str">
        <f>HYPERLINK("https://browser.ihtsdotools.org/?perspective=full&amp;conceptId1=262579009&amp;edition=MAIN/SNOMEDCT-US/2020-03-01&amp;release=&amp;languages=en","262579009")</f>
        <v>262579009</v>
      </c>
      <c r="E140" t="str">
        <f>HYPERLINK("https://browser.ihtsdotools.org/?perspective=full&amp;conceptId1=262580007&amp;edition=MAIN/SNOMEDCT-US/2020-03-01&amp;release=&amp;languages=en","262580007")</f>
        <v>262580007</v>
      </c>
      <c r="F140" t="s">
        <v>2</v>
      </c>
      <c r="G140" t="s">
        <v>242</v>
      </c>
      <c r="H140" t="s">
        <v>45</v>
      </c>
      <c r="I140" t="s">
        <v>46</v>
      </c>
    </row>
    <row r="141" spans="1:9" x14ac:dyDescent="0.2">
      <c r="A141">
        <v>140</v>
      </c>
      <c r="B141" t="s">
        <v>413</v>
      </c>
      <c r="C141" t="s">
        <v>414</v>
      </c>
      <c r="D141" t="str">
        <f>HYPERLINK("https://browser.ihtsdotools.org/?perspective=full&amp;conceptId1=16007631000119106&amp;edition=MAIN/SNOMEDCT-US/2020-03-01&amp;release=&amp;languages=en","16007631000119106")</f>
        <v>16007631000119106</v>
      </c>
      <c r="E141" t="str">
        <f>HYPERLINK("https://browser.ihtsdotools.org/?perspective=full&amp;conceptId1=432293006&amp;edition=MAIN/SNOMEDCT-US/2020-03-01&amp;release=&amp;languages=en","432293006")</f>
        <v>432293006</v>
      </c>
      <c r="F141" t="s">
        <v>38</v>
      </c>
      <c r="H141" t="s">
        <v>45</v>
      </c>
      <c r="I141" t="s">
        <v>415</v>
      </c>
    </row>
    <row r="142" spans="1:9" x14ac:dyDescent="0.2">
      <c r="A142">
        <v>141</v>
      </c>
      <c r="B142" t="s">
        <v>416</v>
      </c>
      <c r="C142" t="s">
        <v>417</v>
      </c>
      <c r="D142" t="str">
        <f>HYPERLINK("https://browser.ihtsdotools.org/?perspective=full&amp;conceptId1=191454001&amp;edition=MAIN/SNOMEDCT-US/2020-03-01&amp;release=&amp;languages=en","191454001")</f>
        <v>191454001</v>
      </c>
      <c r="E142" t="str">
        <f>HYPERLINK("https://browser.ihtsdotools.org/?perspective=full&amp;conceptId1=31081000119101&amp;edition=MAIN/SNOMEDCT-US/2020-03-01&amp;release=&amp;languages=en","31081000119101")</f>
        <v>31081000119101</v>
      </c>
      <c r="F142" t="s">
        <v>38</v>
      </c>
      <c r="G142" t="s">
        <v>418</v>
      </c>
      <c r="H142" t="s">
        <v>419</v>
      </c>
      <c r="I142" t="s">
        <v>420</v>
      </c>
    </row>
    <row r="143" spans="1:9" x14ac:dyDescent="0.2">
      <c r="A143">
        <v>142</v>
      </c>
      <c r="B143" t="s">
        <v>421</v>
      </c>
      <c r="C143" t="s">
        <v>422</v>
      </c>
      <c r="D143" t="str">
        <f>HYPERLINK("https://browser.ihtsdotools.org/?perspective=full&amp;conceptId1=124147007&amp;edition=MAIN/SNOMEDCT-US/2020-03-01&amp;release=&amp;languages=en","124147007")</f>
        <v>124147007</v>
      </c>
      <c r="E143" t="str">
        <f>HYPERLINK("https://browser.ihtsdotools.org/?perspective=full&amp;conceptId1=124228001&amp;edition=MAIN/SNOMEDCT-US/2020-03-01&amp;release=&amp;languages=en","124228001")</f>
        <v>124228001</v>
      </c>
      <c r="F143" t="s">
        <v>38</v>
      </c>
      <c r="H143" t="s">
        <v>17</v>
      </c>
      <c r="I143" t="s">
        <v>423</v>
      </c>
    </row>
    <row r="144" spans="1:9" x14ac:dyDescent="0.2">
      <c r="A144">
        <v>143</v>
      </c>
      <c r="B144" t="s">
        <v>424</v>
      </c>
      <c r="C144" t="s">
        <v>425</v>
      </c>
      <c r="D144" t="str">
        <f>HYPERLINK("https://browser.ihtsdotools.org/?perspective=full&amp;conceptId1=294382007&amp;edition=MAIN/SNOMEDCT-US/2020-03-01&amp;release=&amp;languages=en","294382007")</f>
        <v>294382007</v>
      </c>
      <c r="E144" t="str">
        <f>HYPERLINK("https://browser.ihtsdotools.org/?perspective=full&amp;conceptId1=713276002&amp;edition=MAIN/SNOMEDCT-US/2020-03-01&amp;release=&amp;languages=en","713276002")</f>
        <v>713276002</v>
      </c>
      <c r="F144" t="s">
        <v>2</v>
      </c>
      <c r="G144" t="s">
        <v>426</v>
      </c>
      <c r="H144" t="s">
        <v>4</v>
      </c>
      <c r="I144" t="s">
        <v>427</v>
      </c>
    </row>
    <row r="145" spans="1:9" x14ac:dyDescent="0.2">
      <c r="A145">
        <v>144</v>
      </c>
      <c r="B145" t="s">
        <v>428</v>
      </c>
      <c r="C145" t="s">
        <v>429</v>
      </c>
      <c r="D145" t="str">
        <f>HYPERLINK("https://browser.ihtsdotools.org/?perspective=full&amp;conceptId1=231816006&amp;edition=MAIN/SNOMEDCT-US/2020-03-01&amp;release=&amp;languages=en","231816006")</f>
        <v>231816006</v>
      </c>
      <c r="E145" t="str">
        <f>HYPERLINK("https://browser.ihtsdotools.org/?perspective=full&amp;conceptId1=262749000&amp;edition=MAIN/SNOMEDCT-US/2020-03-01&amp;release=&amp;languages=en","262749000")</f>
        <v>262749000</v>
      </c>
      <c r="F145" t="s">
        <v>38</v>
      </c>
      <c r="H145" t="s">
        <v>17</v>
      </c>
      <c r="I145" t="s">
        <v>214</v>
      </c>
    </row>
    <row r="146" spans="1:9" x14ac:dyDescent="0.2">
      <c r="A146">
        <v>145</v>
      </c>
      <c r="B146" t="s">
        <v>430</v>
      </c>
      <c r="C146" t="s">
        <v>431</v>
      </c>
      <c r="D146" t="str">
        <f>HYPERLINK("https://browser.ihtsdotools.org/?perspective=full&amp;conceptId1=237506002&amp;edition=MAIN/SNOMEDCT-US/2020-03-01&amp;release=&amp;languages=en","237506002")</f>
        <v>237506002</v>
      </c>
      <c r="E146" t="str">
        <f>HYPERLINK("https://browser.ihtsdotools.org/?perspective=full&amp;conceptId1=72271000119100&amp;edition=MAIN/SNOMEDCT-US/2020-03-01&amp;release=&amp;languages=en","72271000119100")</f>
        <v>72271000119100</v>
      </c>
      <c r="F146" t="s">
        <v>38</v>
      </c>
      <c r="H146" t="s">
        <v>49</v>
      </c>
      <c r="I146" t="s">
        <v>432</v>
      </c>
    </row>
    <row r="147" spans="1:9" x14ac:dyDescent="0.2">
      <c r="A147">
        <v>146</v>
      </c>
      <c r="B147" t="s">
        <v>433</v>
      </c>
      <c r="C147" t="s">
        <v>434</v>
      </c>
      <c r="D147" t="str">
        <f>HYPERLINK("https://browser.ihtsdotools.org/?perspective=full&amp;conceptId1=446869009&amp;edition=MAIN/SNOMEDCT-US/2020-03-01&amp;release=&amp;languages=en","446869009")</f>
        <v>446869009</v>
      </c>
      <c r="E147" t="str">
        <f>HYPERLINK("https://browser.ihtsdotools.org/?perspective=full&amp;conceptId1=283040009&amp;edition=MAIN/SNOMEDCT-US/2020-03-01&amp;release=&amp;languages=en","283040009")</f>
        <v>283040009</v>
      </c>
      <c r="F147" t="s">
        <v>38</v>
      </c>
      <c r="H147" t="s">
        <v>17</v>
      </c>
      <c r="I147" t="s">
        <v>435</v>
      </c>
    </row>
    <row r="148" spans="1:9" x14ac:dyDescent="0.2">
      <c r="A148">
        <v>147</v>
      </c>
      <c r="B148" t="s">
        <v>436</v>
      </c>
      <c r="C148" t="s">
        <v>437</v>
      </c>
      <c r="D148" t="str">
        <f>HYPERLINK("https://browser.ihtsdotools.org/?perspective=full&amp;conceptId1=57940000&amp;edition=MAIN/SNOMEDCT-US/2020-03-01&amp;release=&amp;languages=en","57940000")</f>
        <v>57940000</v>
      </c>
      <c r="E148" t="str">
        <f>HYPERLINK("https://browser.ihtsdotools.org/?perspective=full&amp;conceptId1=38365000&amp;edition=MAIN/SNOMEDCT-US/2020-03-01&amp;release=&amp;languages=en","38365000")</f>
        <v>38365000</v>
      </c>
      <c r="F148" t="s">
        <v>38</v>
      </c>
      <c r="H148" t="s">
        <v>53</v>
      </c>
      <c r="I148" t="s">
        <v>438</v>
      </c>
    </row>
    <row r="149" spans="1:9" x14ac:dyDescent="0.2">
      <c r="A149">
        <v>148</v>
      </c>
      <c r="B149" t="s">
        <v>439</v>
      </c>
      <c r="C149" t="s">
        <v>440</v>
      </c>
      <c r="D149" t="str">
        <f>HYPERLINK("https://browser.ihtsdotools.org/?perspective=full&amp;conceptId1=22973003&amp;edition=MAIN/SNOMEDCT-US/2020-03-01&amp;release=&amp;languages=en","22973003")</f>
        <v>22973003</v>
      </c>
      <c r="E149" t="str">
        <f>HYPERLINK("https://browser.ihtsdotools.org/?perspective=full&amp;conceptId1=1734006&amp;edition=MAIN/SNOMEDCT-US/2020-03-01&amp;release=&amp;languages=en","1734006")</f>
        <v>1734006</v>
      </c>
      <c r="F149" t="s">
        <v>38</v>
      </c>
      <c r="H149" t="s">
        <v>4</v>
      </c>
      <c r="I149" t="s">
        <v>118</v>
      </c>
    </row>
    <row r="150" spans="1:9" x14ac:dyDescent="0.2">
      <c r="A150">
        <v>149</v>
      </c>
      <c r="B150" t="s">
        <v>441</v>
      </c>
      <c r="C150" t="s">
        <v>442</v>
      </c>
      <c r="D150" t="str">
        <f>HYPERLINK("https://browser.ihtsdotools.org/?perspective=full&amp;conceptId1=429176009&amp;edition=MAIN/SNOMEDCT-US/2020-03-01&amp;release=&amp;languages=en","429176009")</f>
        <v>429176009</v>
      </c>
      <c r="E150" t="str">
        <f>HYPERLINK("https://browser.ihtsdotools.org/?perspective=full&amp;conceptId1=126757004&amp;edition=MAIN/SNOMEDCT-US/2020-03-01&amp;release=&amp;languages=en","126757004")</f>
        <v>126757004</v>
      </c>
      <c r="F150" t="s">
        <v>38</v>
      </c>
      <c r="H150" t="s">
        <v>53</v>
      </c>
      <c r="I150" t="s">
        <v>443</v>
      </c>
    </row>
    <row r="151" spans="1:9" x14ac:dyDescent="0.2">
      <c r="A151">
        <v>150</v>
      </c>
      <c r="B151" t="s">
        <v>444</v>
      </c>
      <c r="C151" t="s">
        <v>445</v>
      </c>
      <c r="D151" t="str">
        <f>HYPERLINK("https://browser.ihtsdotools.org/?perspective=full&amp;conceptId1=283060001&amp;edition=MAIN/SNOMEDCT-US/2020-03-01&amp;release=&amp;languages=en","283060001")</f>
        <v>283060001</v>
      </c>
      <c r="E151" t="str">
        <f>HYPERLINK("https://browser.ihtsdotools.org/?perspective=full&amp;conceptId1=283037009&amp;edition=MAIN/SNOMEDCT-US/2020-03-01&amp;release=&amp;languages=en","283037009")</f>
        <v>283037009</v>
      </c>
      <c r="F151" t="s">
        <v>38</v>
      </c>
      <c r="H151" t="s">
        <v>17</v>
      </c>
      <c r="I151" t="s">
        <v>42</v>
      </c>
    </row>
    <row r="152" spans="1:9" x14ac:dyDescent="0.2">
      <c r="A152">
        <v>151</v>
      </c>
      <c r="B152" t="s">
        <v>446</v>
      </c>
      <c r="C152" t="s">
        <v>140</v>
      </c>
      <c r="D152" t="str">
        <f>HYPERLINK("https://browser.ihtsdotools.org/?perspective=full&amp;conceptId1=124465002&amp;edition=MAIN/SNOMEDCT-US/2020-03-01&amp;release=&amp;languages=en","124465002")</f>
        <v>124465002</v>
      </c>
      <c r="E152" t="str">
        <f>HYPERLINK("https://browser.ihtsdotools.org/?perspective=full&amp;conceptId1=124407008&amp;edition=MAIN/SNOMEDCT-US/2020-03-01&amp;release=&amp;languages=en","124407008")</f>
        <v>124407008</v>
      </c>
      <c r="F152" t="s">
        <v>38</v>
      </c>
      <c r="H152" t="s">
        <v>136</v>
      </c>
      <c r="I152" t="s">
        <v>447</v>
      </c>
    </row>
    <row r="153" spans="1:9" x14ac:dyDescent="0.2">
      <c r="A153">
        <v>152</v>
      </c>
      <c r="B153" t="s">
        <v>448</v>
      </c>
      <c r="C153" t="s">
        <v>449</v>
      </c>
      <c r="D153" t="str">
        <f>HYPERLINK("https://browser.ihtsdotools.org/?perspective=full&amp;conceptId1=63811003&amp;edition=MAIN/SNOMEDCT-US/2020-03-01&amp;release=&amp;languages=en","63811003")</f>
        <v>63811003</v>
      </c>
      <c r="E153" t="str">
        <f>HYPERLINK("https://browser.ihtsdotools.org/?perspective=full&amp;conceptId1=40194002&amp;edition=MAIN/SNOMEDCT-US/2020-03-01&amp;release=&amp;languages=en","40194002")</f>
        <v>40194002</v>
      </c>
      <c r="F153" t="s">
        <v>38</v>
      </c>
      <c r="H153" t="s">
        <v>17</v>
      </c>
      <c r="I153" t="s">
        <v>39</v>
      </c>
    </row>
    <row r="154" spans="1:9" x14ac:dyDescent="0.2">
      <c r="A154">
        <v>153</v>
      </c>
      <c r="B154" t="s">
        <v>450</v>
      </c>
      <c r="C154" t="s">
        <v>154</v>
      </c>
      <c r="D154" t="str">
        <f>HYPERLINK("https://browser.ihtsdotools.org/?perspective=full&amp;conceptId1=124697007&amp;edition=MAIN/SNOMEDCT-US/2020-03-01&amp;release=&amp;languages=en","124697007")</f>
        <v>124697007</v>
      </c>
      <c r="E154" t="str">
        <f>HYPERLINK("https://browser.ihtsdotools.org/?perspective=full&amp;conceptId1=124687003&amp;edition=MAIN/SNOMEDCT-US/2020-03-01&amp;release=&amp;languages=en","124687003")</f>
        <v>124687003</v>
      </c>
      <c r="F154" t="s">
        <v>38</v>
      </c>
      <c r="H154" t="s">
        <v>17</v>
      </c>
      <c r="I154" t="s">
        <v>451</v>
      </c>
    </row>
    <row r="155" spans="1:9" x14ac:dyDescent="0.2">
      <c r="A155">
        <v>154</v>
      </c>
      <c r="B155" t="s">
        <v>452</v>
      </c>
      <c r="C155" t="s">
        <v>453</v>
      </c>
      <c r="D155" t="str">
        <f>HYPERLINK("https://browser.ihtsdotools.org/?perspective=full&amp;conceptId1=262966007&amp;edition=MAIN/SNOMEDCT-US/2020-03-01&amp;release=&amp;languages=en","262966007")</f>
        <v>262966007</v>
      </c>
      <c r="E155" t="str">
        <f>HYPERLINK("https://browser.ihtsdotools.org/?perspective=full&amp;conceptId1=95847005&amp;edition=MAIN/SNOMEDCT-US/2020-03-01&amp;release=&amp;languages=en","95847005")</f>
        <v>95847005</v>
      </c>
      <c r="F155" t="s">
        <v>38</v>
      </c>
      <c r="H155" t="s">
        <v>4</v>
      </c>
      <c r="I155" t="s">
        <v>454</v>
      </c>
    </row>
    <row r="156" spans="1:9" x14ac:dyDescent="0.2">
      <c r="A156">
        <v>155</v>
      </c>
      <c r="B156" t="s">
        <v>455</v>
      </c>
      <c r="C156" t="s">
        <v>456</v>
      </c>
      <c r="D156" t="str">
        <f>HYPERLINK("https://browser.ihtsdotools.org/?perspective=full&amp;conceptId1=230223008&amp;edition=MAIN/SNOMEDCT-US/2020-03-01&amp;release=&amp;languages=en","230223008")</f>
        <v>230223008</v>
      </c>
      <c r="E156" t="str">
        <f>HYPERLINK("https://browser.ihtsdotools.org/?perspective=full&amp;conceptId1=5511000124107&amp;edition=MAIN/SNOMEDCT-US/2020-03-01&amp;release=&amp;languages=en","5511000124107")</f>
        <v>5511000124107</v>
      </c>
      <c r="F156" t="s">
        <v>38</v>
      </c>
      <c r="H156" t="s">
        <v>53</v>
      </c>
      <c r="I156" t="s">
        <v>457</v>
      </c>
    </row>
    <row r="157" spans="1:9" x14ac:dyDescent="0.2">
      <c r="A157">
        <v>156</v>
      </c>
      <c r="B157" t="s">
        <v>458</v>
      </c>
      <c r="C157" t="s">
        <v>459</v>
      </c>
      <c r="D157" t="str">
        <f>HYPERLINK("https://browser.ihtsdotools.org/?perspective=full&amp;conceptId1=248711003&amp;edition=MAIN/SNOMEDCT-US/2020-03-01&amp;release=&amp;languages=en","248711003")</f>
        <v>248711003</v>
      </c>
      <c r="E157" t="str">
        <f>HYPERLINK("https://browser.ihtsdotools.org/?perspective=full&amp;conceptId1=248712005&amp;edition=MAIN/SNOMEDCT-US/2020-03-01&amp;release=&amp;languages=en","248712005")</f>
        <v>248712005</v>
      </c>
      <c r="F157" t="s">
        <v>38</v>
      </c>
      <c r="H157" t="s">
        <v>17</v>
      </c>
      <c r="I157" t="s">
        <v>460</v>
      </c>
    </row>
    <row r="158" spans="1:9" x14ac:dyDescent="0.2">
      <c r="A158">
        <v>157</v>
      </c>
      <c r="B158" t="s">
        <v>461</v>
      </c>
      <c r="C158" t="s">
        <v>422</v>
      </c>
      <c r="D158" t="str">
        <f>HYPERLINK("https://browser.ihtsdotools.org/?perspective=full&amp;conceptId1=124142001&amp;edition=MAIN/SNOMEDCT-US/2020-03-01&amp;release=&amp;languages=en","124142001")</f>
        <v>124142001</v>
      </c>
      <c r="E158" t="str">
        <f>HYPERLINK("https://browser.ihtsdotools.org/?perspective=full&amp;conceptId1=124228001&amp;edition=MAIN/SNOMEDCT-US/2020-03-01&amp;release=&amp;languages=en","124228001")</f>
        <v>124228001</v>
      </c>
      <c r="F158" t="s">
        <v>38</v>
      </c>
      <c r="H158" t="s">
        <v>17</v>
      </c>
      <c r="I158" t="s">
        <v>462</v>
      </c>
    </row>
    <row r="159" spans="1:9" x14ac:dyDescent="0.2">
      <c r="A159">
        <v>158</v>
      </c>
      <c r="B159" t="s">
        <v>463</v>
      </c>
      <c r="C159" t="s">
        <v>464</v>
      </c>
      <c r="D159" t="str">
        <f>HYPERLINK("https://browser.ihtsdotools.org/?perspective=full&amp;conceptId1=735769000&amp;edition=MAIN/SNOMEDCT-US/2020-03-01&amp;release=&amp;languages=en","735769000")</f>
        <v>735769000</v>
      </c>
      <c r="E159" t="str">
        <f>HYPERLINK("https://browser.ihtsdotools.org/?perspective=full&amp;conceptId1=762609006&amp;edition=MAIN/SNOMEDCT-US/2020-03-01&amp;release=&amp;languages=en","762609006")</f>
        <v>762609006</v>
      </c>
      <c r="F159" t="s">
        <v>38</v>
      </c>
      <c r="H159" t="s">
        <v>4</v>
      </c>
      <c r="I159" t="s">
        <v>465</v>
      </c>
    </row>
    <row r="160" spans="1:9" x14ac:dyDescent="0.2">
      <c r="A160">
        <v>159</v>
      </c>
      <c r="B160" t="s">
        <v>466</v>
      </c>
      <c r="C160" t="s">
        <v>467</v>
      </c>
      <c r="D160" t="str">
        <f>HYPERLINK("https://browser.ihtsdotools.org/?perspective=full&amp;conceptId1=247877002&amp;edition=MAIN/SNOMEDCT-US/2020-03-01&amp;release=&amp;languages=en","247877002")</f>
        <v>247877002</v>
      </c>
      <c r="E160" t="str">
        <f>HYPERLINK("https://browser.ihtsdotools.org/?perspective=full&amp;conceptId1=247880001&amp;edition=MAIN/SNOMEDCT-US/2020-03-01&amp;release=&amp;languages=en","247880001")</f>
        <v>247880001</v>
      </c>
      <c r="F160" t="s">
        <v>38</v>
      </c>
      <c r="H160" t="s">
        <v>17</v>
      </c>
      <c r="I160" t="s">
        <v>468</v>
      </c>
    </row>
    <row r="161" spans="1:9" x14ac:dyDescent="0.2">
      <c r="A161">
        <v>160</v>
      </c>
      <c r="B161" t="s">
        <v>469</v>
      </c>
      <c r="C161" t="s">
        <v>146</v>
      </c>
      <c r="D161" t="str">
        <f>HYPERLINK("https://browser.ihtsdotools.org/?perspective=full&amp;conceptId1=124605009&amp;edition=MAIN/SNOMEDCT-US/2020-03-01&amp;release=&amp;languages=en","124605009")</f>
        <v>124605009</v>
      </c>
      <c r="E161" t="str">
        <f>HYPERLINK("https://browser.ihtsdotools.org/?perspective=full&amp;conceptId1=124592006&amp;edition=MAIN/SNOMEDCT-US/2020-03-01&amp;release=&amp;languages=en","124592006")</f>
        <v>124592006</v>
      </c>
      <c r="F161" t="s">
        <v>38</v>
      </c>
      <c r="H161" t="s">
        <v>17</v>
      </c>
      <c r="I161" t="s">
        <v>470</v>
      </c>
    </row>
    <row r="162" spans="1:9" x14ac:dyDescent="0.2">
      <c r="A162">
        <v>161</v>
      </c>
      <c r="B162" t="s">
        <v>471</v>
      </c>
      <c r="C162" t="s">
        <v>472</v>
      </c>
      <c r="D162" t="str">
        <f>HYPERLINK("https://browser.ihtsdotools.org/?perspective=full&amp;conceptId1=94517007&amp;edition=MAIN/SNOMEDCT-US/2020-03-01&amp;release=&amp;languages=en","94517007")</f>
        <v>94517007</v>
      </c>
      <c r="E162" t="str">
        <f>HYPERLINK("https://browser.ihtsdotools.org/?perspective=full&amp;conceptId1=187804005&amp;edition=MAIN/SNOMEDCT-US/2020-03-01&amp;release=&amp;languages=en","187804005")</f>
        <v>187804005</v>
      </c>
      <c r="F162" t="s">
        <v>38</v>
      </c>
      <c r="G162" t="s">
        <v>473</v>
      </c>
      <c r="H162" t="s">
        <v>474</v>
      </c>
      <c r="I162" t="s">
        <v>475</v>
      </c>
    </row>
    <row r="163" spans="1:9" x14ac:dyDescent="0.2">
      <c r="A163">
        <v>162</v>
      </c>
      <c r="B163" t="s">
        <v>476</v>
      </c>
      <c r="C163" t="s">
        <v>477</v>
      </c>
      <c r="D163" t="str">
        <f>HYPERLINK("https://browser.ihtsdotools.org/?perspective=full&amp;conceptId1=283068008&amp;edition=MAIN/SNOMEDCT-US/2020-03-01&amp;release=&amp;languages=en","283068008")</f>
        <v>283068008</v>
      </c>
      <c r="E163" t="str">
        <f>HYPERLINK("https://browser.ihtsdotools.org/?perspective=full&amp;conceptId1=110164000&amp;edition=MAIN/SNOMEDCT-US/2020-03-01&amp;release=&amp;languages=en","110164000")</f>
        <v>110164000</v>
      </c>
      <c r="F163" t="s">
        <v>38</v>
      </c>
      <c r="H163" t="s">
        <v>17</v>
      </c>
      <c r="I163" t="s">
        <v>269</v>
      </c>
    </row>
    <row r="164" spans="1:9" x14ac:dyDescent="0.2">
      <c r="A164">
        <v>163</v>
      </c>
      <c r="B164" t="s">
        <v>478</v>
      </c>
      <c r="C164" t="s">
        <v>168</v>
      </c>
      <c r="D164" t="str">
        <f>HYPERLINK("https://browser.ihtsdotools.org/?perspective=full&amp;conceptId1=124349002&amp;edition=MAIN/SNOMEDCT-US/2020-03-01&amp;release=&amp;languages=en","124349002")</f>
        <v>124349002</v>
      </c>
      <c r="E164" t="str">
        <f>HYPERLINK("https://browser.ihtsdotools.org/?perspective=full&amp;conceptId1=124406004&amp;edition=MAIN/SNOMEDCT-US/2020-03-01&amp;release=&amp;languages=en","124406004")</f>
        <v>124406004</v>
      </c>
      <c r="F164" t="s">
        <v>38</v>
      </c>
      <c r="G164" t="s">
        <v>479</v>
      </c>
      <c r="H164" t="s">
        <v>136</v>
      </c>
      <c r="I164" t="s">
        <v>480</v>
      </c>
    </row>
    <row r="165" spans="1:9" x14ac:dyDescent="0.2">
      <c r="A165">
        <v>164</v>
      </c>
      <c r="B165" t="s">
        <v>481</v>
      </c>
      <c r="C165" t="s">
        <v>482</v>
      </c>
      <c r="D165" t="str">
        <f>HYPERLINK("https://browser.ihtsdotools.org/?perspective=full&amp;conceptId1=124276000&amp;edition=MAIN/SNOMEDCT-US/2020-03-01&amp;release=&amp;languages=en","124276000")</f>
        <v>124276000</v>
      </c>
      <c r="E165" t="str">
        <f>HYPERLINK("https://browser.ihtsdotools.org/?perspective=full&amp;conceptId1=124390004&amp;edition=MAIN/SNOMEDCT-US/2020-03-01&amp;release=&amp;languages=en","124390004")</f>
        <v>124390004</v>
      </c>
      <c r="F165" t="s">
        <v>38</v>
      </c>
      <c r="H165" t="s">
        <v>17</v>
      </c>
      <c r="I165" t="s">
        <v>483</v>
      </c>
    </row>
    <row r="166" spans="1:9" x14ac:dyDescent="0.2">
      <c r="A166">
        <v>165</v>
      </c>
      <c r="B166" t="s">
        <v>484</v>
      </c>
      <c r="C166" t="s">
        <v>291</v>
      </c>
      <c r="D166" t="str">
        <f>HYPERLINK("https://browser.ihtsdotools.org/?perspective=full&amp;conceptId1=92336000&amp;edition=MAIN/SNOMEDCT-US/2020-03-01&amp;release=&amp;languages=en","92336000")</f>
        <v>92336000</v>
      </c>
      <c r="E166" t="str">
        <f>HYPERLINK("https://browser.ihtsdotools.org/?perspective=full&amp;conceptId1=92384009&amp;edition=MAIN/SNOMEDCT-US/2020-03-01&amp;release=&amp;languages=en","92384009")</f>
        <v>92384009</v>
      </c>
      <c r="F166" t="s">
        <v>38</v>
      </c>
      <c r="H166" t="s">
        <v>4</v>
      </c>
      <c r="I166" t="s">
        <v>257</v>
      </c>
    </row>
    <row r="167" spans="1:9" x14ac:dyDescent="0.2">
      <c r="A167">
        <v>166</v>
      </c>
      <c r="B167" t="s">
        <v>485</v>
      </c>
      <c r="C167" t="s">
        <v>486</v>
      </c>
      <c r="D167" t="str">
        <f>HYPERLINK("https://browser.ihtsdotools.org/?perspective=full&amp;conceptId1=403385000&amp;edition=MAIN/SNOMEDCT-US/2020-03-01&amp;release=&amp;languages=en","403385000")</f>
        <v>403385000</v>
      </c>
      <c r="E167" t="str">
        <f>HYPERLINK("https://browser.ihtsdotools.org/?perspective=full&amp;conceptId1=373408007&amp;edition=MAIN/SNOMEDCT-US/2020-03-01&amp;release=&amp;languages=en","373408007")</f>
        <v>373408007</v>
      </c>
      <c r="F167" t="s">
        <v>2</v>
      </c>
      <c r="G167" t="s">
        <v>487</v>
      </c>
      <c r="H167" t="s">
        <v>4</v>
      </c>
      <c r="I167" t="s">
        <v>488</v>
      </c>
    </row>
    <row r="168" spans="1:9" x14ac:dyDescent="0.2">
      <c r="A168">
        <v>167</v>
      </c>
      <c r="B168" t="s">
        <v>489</v>
      </c>
      <c r="C168" t="s">
        <v>490</v>
      </c>
      <c r="D168" t="str">
        <f>HYPERLINK("https://browser.ihtsdotools.org/?perspective=full&amp;conceptId1=283335009&amp;edition=MAIN/SNOMEDCT-US/2020-03-01&amp;release=&amp;languages=en","283335009")</f>
        <v>283335009</v>
      </c>
      <c r="E168" t="str">
        <f>HYPERLINK("https://browser.ihtsdotools.org/?perspective=full&amp;conceptId1=283334008&amp;edition=MAIN/SNOMEDCT-US/2020-03-01&amp;release=&amp;languages=en","283334008")</f>
        <v>283334008</v>
      </c>
      <c r="F168" t="s">
        <v>2</v>
      </c>
      <c r="G168" t="s">
        <v>242</v>
      </c>
      <c r="H168" t="s">
        <v>45</v>
      </c>
      <c r="I168" t="s">
        <v>46</v>
      </c>
    </row>
    <row r="169" spans="1:9" x14ac:dyDescent="0.2">
      <c r="A169">
        <v>168</v>
      </c>
      <c r="B169" t="s">
        <v>491</v>
      </c>
      <c r="C169" t="s">
        <v>492</v>
      </c>
      <c r="D169" t="str">
        <f>HYPERLINK("https://browser.ihtsdotools.org/?perspective=full&amp;conceptId1=363470000&amp;edition=MAIN/SNOMEDCT-US/2020-03-01&amp;release=&amp;languages=en","363470000")</f>
        <v>363470000</v>
      </c>
      <c r="E169" t="str">
        <f>HYPERLINK("https://browser.ihtsdotools.org/?perspective=full&amp;conceptId1=188282004&amp;edition=MAIN/SNOMEDCT-US/2020-03-01&amp;release=&amp;languages=en","188282004")</f>
        <v>188282004</v>
      </c>
      <c r="F169" t="s">
        <v>38</v>
      </c>
      <c r="H169" t="s">
        <v>493</v>
      </c>
      <c r="I169" t="s">
        <v>494</v>
      </c>
    </row>
    <row r="170" spans="1:9" x14ac:dyDescent="0.2">
      <c r="A170">
        <v>169</v>
      </c>
      <c r="B170" t="s">
        <v>495</v>
      </c>
      <c r="C170" t="s">
        <v>496</v>
      </c>
      <c r="D170" t="str">
        <f>HYPERLINK("https://browser.ihtsdotools.org/?perspective=full&amp;conceptId1=92297008&amp;edition=MAIN/SNOMEDCT-US/2020-03-01&amp;release=&amp;languages=en","92297008")</f>
        <v>92297008</v>
      </c>
      <c r="E170" t="str">
        <f>HYPERLINK("https://browser.ihtsdotools.org/?perspective=full&amp;conceptId1=126920004&amp;edition=MAIN/SNOMEDCT-US/2020-03-01&amp;release=&amp;languages=en","126920004")</f>
        <v>126920004</v>
      </c>
      <c r="F170" t="s">
        <v>38</v>
      </c>
      <c r="H170" t="s">
        <v>4</v>
      </c>
      <c r="I170" t="s">
        <v>73</v>
      </c>
    </row>
    <row r="171" spans="1:9" x14ac:dyDescent="0.2">
      <c r="A171">
        <v>170</v>
      </c>
      <c r="B171" t="s">
        <v>497</v>
      </c>
      <c r="C171" t="s">
        <v>498</v>
      </c>
      <c r="D171" t="str">
        <f>HYPERLINK("https://browser.ihtsdotools.org/?perspective=full&amp;conceptId1=58540009&amp;edition=MAIN/SNOMEDCT-US/2020-03-01&amp;release=&amp;languages=en","58540009")</f>
        <v>58540009</v>
      </c>
      <c r="E171" t="str">
        <f>HYPERLINK("https://browser.ihtsdotools.org/?perspective=full&amp;conceptId1=52023002&amp;edition=MAIN/SNOMEDCT-US/2020-03-01&amp;release=&amp;languages=en","52023002")</f>
        <v>52023002</v>
      </c>
      <c r="F171" t="s">
        <v>2</v>
      </c>
      <c r="G171" t="s">
        <v>242</v>
      </c>
      <c r="H171" t="s">
        <v>45</v>
      </c>
      <c r="I171" t="s">
        <v>46</v>
      </c>
    </row>
    <row r="172" spans="1:9" x14ac:dyDescent="0.2">
      <c r="A172">
        <v>171</v>
      </c>
      <c r="B172" t="s">
        <v>499</v>
      </c>
      <c r="C172" t="s">
        <v>500</v>
      </c>
      <c r="D172" t="str">
        <f>HYPERLINK("https://browser.ihtsdotools.org/?perspective=full&amp;conceptId1=10823131000119105&amp;edition=MAIN/SNOMEDCT-US/2020-03-01&amp;release=&amp;languages=en","10823131000119105")</f>
        <v>10823131000119105</v>
      </c>
      <c r="E172" t="str">
        <f>HYPERLINK("https://browser.ihtsdotools.org/?perspective=full&amp;conceptId1=10823211000119105&amp;edition=MAIN/SNOMEDCT-US/2020-03-01&amp;release=&amp;languages=en","10823211000119105")</f>
        <v>10823211000119105</v>
      </c>
      <c r="F172" t="s">
        <v>38</v>
      </c>
      <c r="H172" t="s">
        <v>238</v>
      </c>
      <c r="I172" t="s">
        <v>239</v>
      </c>
    </row>
    <row r="173" spans="1:9" x14ac:dyDescent="0.2">
      <c r="A173">
        <v>172</v>
      </c>
      <c r="B173" t="s">
        <v>501</v>
      </c>
      <c r="C173" t="s">
        <v>502</v>
      </c>
      <c r="D173" t="str">
        <f>HYPERLINK("https://browser.ihtsdotools.org/?perspective=full&amp;conceptId1=222008&amp;edition=MAIN/SNOMEDCT-US/2020-03-01&amp;release=&amp;languages=en","222008")</f>
        <v>222008</v>
      </c>
      <c r="E173" t="str">
        <f>HYPERLINK("https://browser.ihtsdotools.org/?perspective=full&amp;conceptId1=408669002&amp;edition=MAIN/SNOMEDCT-US/2020-03-01&amp;release=&amp;languages=en","408669002")</f>
        <v>408669002</v>
      </c>
      <c r="F173" t="s">
        <v>38</v>
      </c>
      <c r="H173" t="s">
        <v>17</v>
      </c>
      <c r="I173" t="s">
        <v>503</v>
      </c>
    </row>
    <row r="174" spans="1:9" x14ac:dyDescent="0.2">
      <c r="A174">
        <v>173</v>
      </c>
      <c r="B174" t="s">
        <v>504</v>
      </c>
      <c r="C174" t="s">
        <v>505</v>
      </c>
      <c r="D174" t="str">
        <f>HYPERLINK("https://browser.ihtsdotools.org/?perspective=full&amp;conceptId1=736987000&amp;edition=MAIN/SNOMEDCT-US/2020-03-01&amp;release=&amp;languages=en","736987000")</f>
        <v>736987000</v>
      </c>
      <c r="E174" t="str">
        <f>HYPERLINK("https://browser.ihtsdotools.org/?perspective=full&amp;conceptId1=17778006&amp;edition=MAIN/SNOMEDCT-US/2020-03-01&amp;release=&amp;languages=en","17778006")</f>
        <v>17778006</v>
      </c>
      <c r="F174" t="s">
        <v>38</v>
      </c>
      <c r="H174" t="s">
        <v>17</v>
      </c>
      <c r="I174" t="s">
        <v>506</v>
      </c>
    </row>
    <row r="175" spans="1:9" x14ac:dyDescent="0.2">
      <c r="A175">
        <v>174</v>
      </c>
      <c r="B175" t="s">
        <v>507</v>
      </c>
      <c r="C175" t="s">
        <v>151</v>
      </c>
      <c r="D175" t="str">
        <f>HYPERLINK("https://browser.ihtsdotools.org/?perspective=full&amp;conceptId1=124659007&amp;edition=MAIN/SNOMEDCT-US/2020-03-01&amp;release=&amp;languages=en","124659007")</f>
        <v>124659007</v>
      </c>
      <c r="E175" t="str">
        <f>HYPERLINK("https://browser.ihtsdotools.org/?perspective=full&amp;conceptId1=124657009&amp;edition=MAIN/SNOMEDCT-US/2020-03-01&amp;release=&amp;languages=en","124657009")</f>
        <v>124657009</v>
      </c>
      <c r="F175" t="s">
        <v>38</v>
      </c>
      <c r="H175" t="s">
        <v>17</v>
      </c>
      <c r="I175" t="s">
        <v>508</v>
      </c>
    </row>
    <row r="176" spans="1:9" x14ac:dyDescent="0.2">
      <c r="A176">
        <v>175</v>
      </c>
      <c r="B176" t="s">
        <v>509</v>
      </c>
      <c r="C176" t="s">
        <v>33</v>
      </c>
      <c r="D176" t="str">
        <f>HYPERLINK("https://browser.ihtsdotools.org/?perspective=full&amp;conceptId1=59867002&amp;edition=MAIN/SNOMEDCT-US/2020-03-01&amp;release=&amp;languages=en","59867002")</f>
        <v>59867002</v>
      </c>
      <c r="E176" t="str">
        <f>HYPERLINK("https://browser.ihtsdotools.org/?perspective=full&amp;conceptId1=7127005&amp;edition=MAIN/SNOMEDCT-US/2020-03-01&amp;release=&amp;languages=en","7127005")</f>
        <v>7127005</v>
      </c>
      <c r="F176" t="s">
        <v>38</v>
      </c>
      <c r="H176" t="s">
        <v>17</v>
      </c>
      <c r="I176" t="s">
        <v>510</v>
      </c>
    </row>
    <row r="177" spans="1:9" x14ac:dyDescent="0.2">
      <c r="A177">
        <v>176</v>
      </c>
      <c r="B177" t="s">
        <v>511</v>
      </c>
      <c r="C177" t="s">
        <v>512</v>
      </c>
      <c r="D177" t="str">
        <f>HYPERLINK("https://browser.ihtsdotools.org/?perspective=full&amp;conceptId1=403971002&amp;edition=MAIN/SNOMEDCT-US/2020-03-01&amp;release=&amp;languages=en","403971002")</f>
        <v>403971002</v>
      </c>
      <c r="E177" t="str">
        <f>HYPERLINK("https://browser.ihtsdotools.org/?perspective=full&amp;conceptId1=254795008&amp;edition=MAIN/SNOMEDCT-US/2020-03-01&amp;release=&amp;languages=en","254795008")</f>
        <v>254795008</v>
      </c>
      <c r="F177" t="s">
        <v>38</v>
      </c>
      <c r="H177" t="s">
        <v>4</v>
      </c>
      <c r="I177" t="s">
        <v>513</v>
      </c>
    </row>
    <row r="178" spans="1:9" x14ac:dyDescent="0.2">
      <c r="A178">
        <v>177</v>
      </c>
      <c r="B178" t="s">
        <v>514</v>
      </c>
      <c r="C178" t="s">
        <v>146</v>
      </c>
      <c r="D178" t="str">
        <f>HYPERLINK("https://browser.ihtsdotools.org/?perspective=full&amp;conceptId1=124596009&amp;edition=MAIN/SNOMEDCT-US/2020-03-01&amp;release=&amp;languages=en","124596009")</f>
        <v>124596009</v>
      </c>
      <c r="E178" t="str">
        <f>HYPERLINK("https://browser.ihtsdotools.org/?perspective=full&amp;conceptId1=124592006&amp;edition=MAIN/SNOMEDCT-US/2020-03-01&amp;release=&amp;languages=en","124592006")</f>
        <v>124592006</v>
      </c>
      <c r="F178" t="s">
        <v>38</v>
      </c>
      <c r="H178" t="s">
        <v>17</v>
      </c>
      <c r="I178" t="s">
        <v>515</v>
      </c>
    </row>
    <row r="179" spans="1:9" x14ac:dyDescent="0.2">
      <c r="A179">
        <v>178</v>
      </c>
      <c r="B179" t="s">
        <v>516</v>
      </c>
      <c r="C179" t="s">
        <v>517</v>
      </c>
      <c r="D179" t="str">
        <f>HYPERLINK("https://browser.ihtsdotools.org/?perspective=full&amp;conceptId1=210622003&amp;edition=MAIN/SNOMEDCT-US/2020-03-01&amp;release=&amp;languages=en","210622003")</f>
        <v>210622003</v>
      </c>
      <c r="E179" t="str">
        <f>HYPERLINK("https://browser.ihtsdotools.org/?perspective=full&amp;conceptId1=43555005&amp;edition=MAIN/SNOMEDCT-US/2020-03-01&amp;release=&amp;languages=en","43555005")</f>
        <v>43555005</v>
      </c>
      <c r="F179" t="s">
        <v>2</v>
      </c>
      <c r="G179" t="s">
        <v>242</v>
      </c>
      <c r="H179" t="s">
        <v>45</v>
      </c>
      <c r="I179" t="s">
        <v>46</v>
      </c>
    </row>
    <row r="180" spans="1:9" x14ac:dyDescent="0.2">
      <c r="A180">
        <v>179</v>
      </c>
      <c r="B180" t="s">
        <v>518</v>
      </c>
      <c r="C180" t="s">
        <v>519</v>
      </c>
      <c r="D180" t="str">
        <f>HYPERLINK("https://browser.ihtsdotools.org/?perspective=full&amp;conceptId1=15931461000119106&amp;edition=MAIN/SNOMEDCT-US/2020-03-01&amp;release=&amp;languages=en","15931461000119106")</f>
        <v>15931461000119106</v>
      </c>
      <c r="E180" t="str">
        <f>HYPERLINK("https://browser.ihtsdotools.org/?perspective=full&amp;conceptId1=2615004&amp;edition=MAIN/SNOMEDCT-US/2020-03-01&amp;release=&amp;languages=en","2615004")</f>
        <v>2615004</v>
      </c>
      <c r="F180" t="s">
        <v>38</v>
      </c>
      <c r="H180" t="s">
        <v>30</v>
      </c>
      <c r="I180" t="s">
        <v>127</v>
      </c>
    </row>
    <row r="181" spans="1:9" x14ac:dyDescent="0.2">
      <c r="A181">
        <v>180</v>
      </c>
      <c r="B181" t="s">
        <v>520</v>
      </c>
      <c r="C181" t="s">
        <v>521</v>
      </c>
      <c r="D181" t="str">
        <f>HYPERLINK("https://browser.ihtsdotools.org/?perspective=full&amp;conceptId1=724901008&amp;edition=MAIN/SNOMEDCT-US/2020-03-01&amp;release=&amp;languages=en","724901008")</f>
        <v>724901008</v>
      </c>
      <c r="E181" t="str">
        <f>HYPERLINK("https://browser.ihtsdotools.org/?perspective=full&amp;conceptId1=737260001&amp;edition=MAIN/SNOMEDCT-US/2020-03-01&amp;release=&amp;languages=en","737260001")</f>
        <v>737260001</v>
      </c>
      <c r="F181" t="s">
        <v>38</v>
      </c>
      <c r="H181" t="s">
        <v>4</v>
      </c>
      <c r="I181" t="s">
        <v>297</v>
      </c>
    </row>
    <row r="182" spans="1:9" x14ac:dyDescent="0.2">
      <c r="A182">
        <v>181</v>
      </c>
      <c r="B182" t="s">
        <v>522</v>
      </c>
      <c r="C182" t="s">
        <v>157</v>
      </c>
      <c r="D182" t="str">
        <f>HYPERLINK("https://browser.ihtsdotools.org/?perspective=full&amp;conceptId1=124254009&amp;edition=MAIN/SNOMEDCT-US/2020-03-01&amp;release=&amp;languages=en","124254009")</f>
        <v>124254009</v>
      </c>
      <c r="E182" t="str">
        <f>HYPERLINK("https://browser.ihtsdotools.org/?perspective=full&amp;conceptId1=124382004&amp;edition=MAIN/SNOMEDCT-US/2020-03-01&amp;release=&amp;languages=en","124382004")</f>
        <v>124382004</v>
      </c>
      <c r="F182" t="s">
        <v>38</v>
      </c>
      <c r="G182" t="s">
        <v>523</v>
      </c>
      <c r="H182" t="s">
        <v>17</v>
      </c>
      <c r="I182" t="s">
        <v>524</v>
      </c>
    </row>
    <row r="183" spans="1:9" x14ac:dyDescent="0.2">
      <c r="A183">
        <v>182</v>
      </c>
      <c r="B183" t="s">
        <v>525</v>
      </c>
      <c r="C183" t="s">
        <v>526</v>
      </c>
      <c r="D183" t="str">
        <f>HYPERLINK("https://browser.ihtsdotools.org/?perspective=full&amp;conceptId1=292230006&amp;edition=MAIN/SNOMEDCT-US/2020-03-01&amp;release=&amp;languages=en","292230006")</f>
        <v>292230006</v>
      </c>
      <c r="E183" t="str">
        <f>HYPERLINK("https://browser.ihtsdotools.org/?perspective=full&amp;conceptId1=292255000&amp;edition=MAIN/SNOMEDCT-US/2020-03-01&amp;release=&amp;languages=en","292255000")</f>
        <v>292255000</v>
      </c>
      <c r="F183" t="s">
        <v>38</v>
      </c>
      <c r="H183" t="s">
        <v>4</v>
      </c>
      <c r="I183" t="s">
        <v>527</v>
      </c>
    </row>
    <row r="184" spans="1:9" x14ac:dyDescent="0.2">
      <c r="A184">
        <v>183</v>
      </c>
      <c r="B184" t="s">
        <v>528</v>
      </c>
      <c r="C184" t="s">
        <v>422</v>
      </c>
      <c r="D184" t="str">
        <f>HYPERLINK("https://browser.ihtsdotools.org/?perspective=full&amp;conceptId1=124143006&amp;edition=MAIN/SNOMEDCT-US/2020-03-01&amp;release=&amp;languages=en","124143006")</f>
        <v>124143006</v>
      </c>
      <c r="E184" t="str">
        <f>HYPERLINK("https://browser.ihtsdotools.org/?perspective=full&amp;conceptId1=124228001&amp;edition=MAIN/SNOMEDCT-US/2020-03-01&amp;release=&amp;languages=en","124228001")</f>
        <v>124228001</v>
      </c>
      <c r="F184" t="s">
        <v>38</v>
      </c>
      <c r="H184" t="s">
        <v>17</v>
      </c>
      <c r="I184" t="s">
        <v>529</v>
      </c>
    </row>
    <row r="185" spans="1:9" x14ac:dyDescent="0.2">
      <c r="A185">
        <v>184</v>
      </c>
      <c r="B185" t="s">
        <v>530</v>
      </c>
      <c r="C185" t="s">
        <v>323</v>
      </c>
      <c r="D185" t="str">
        <f>HYPERLINK("https://browser.ihtsdotools.org/?perspective=full&amp;conceptId1=124157008&amp;edition=MAIN/SNOMEDCT-US/2020-03-01&amp;release=&amp;languages=en","124157008")</f>
        <v>124157008</v>
      </c>
      <c r="E185" t="str">
        <f>HYPERLINK("https://browser.ihtsdotools.org/?perspective=full&amp;conceptId1=124226002&amp;edition=MAIN/SNOMEDCT-US/2020-03-01&amp;release=&amp;languages=en","124226002")</f>
        <v>124226002</v>
      </c>
      <c r="F185" t="s">
        <v>38</v>
      </c>
      <c r="H185" t="s">
        <v>17</v>
      </c>
      <c r="I185" t="s">
        <v>531</v>
      </c>
    </row>
    <row r="186" spans="1:9" x14ac:dyDescent="0.2">
      <c r="A186">
        <v>185</v>
      </c>
      <c r="B186" t="s">
        <v>532</v>
      </c>
      <c r="C186" t="s">
        <v>533</v>
      </c>
      <c r="D186" t="str">
        <f>HYPERLINK("https://browser.ihtsdotools.org/?perspective=full&amp;conceptId1=15677681000119107&amp;edition=MAIN/SNOMEDCT-US/2020-03-01&amp;release=&amp;languages=en","15677681000119107")</f>
        <v>15677681000119107</v>
      </c>
      <c r="E186" t="str">
        <f>HYPERLINK("https://browser.ihtsdotools.org/?perspective=full&amp;conceptId1=15992991000119105&amp;edition=MAIN/SNOMEDCT-US/2020-03-01&amp;release=&amp;languages=en","15992991000119105")</f>
        <v>15992991000119105</v>
      </c>
      <c r="F186" t="s">
        <v>2</v>
      </c>
      <c r="G186" t="s">
        <v>534</v>
      </c>
      <c r="H186" t="s">
        <v>136</v>
      </c>
      <c r="I186" t="s">
        <v>535</v>
      </c>
    </row>
    <row r="187" spans="1:9" x14ac:dyDescent="0.2">
      <c r="A187">
        <v>186</v>
      </c>
      <c r="B187" t="s">
        <v>536</v>
      </c>
      <c r="C187" t="s">
        <v>323</v>
      </c>
      <c r="D187" t="str">
        <f>HYPERLINK("https://browser.ihtsdotools.org/?perspective=full&amp;conceptId1=124149005&amp;edition=MAIN/SNOMEDCT-US/2020-03-01&amp;release=&amp;languages=en","124149005")</f>
        <v>124149005</v>
      </c>
      <c r="E187" t="str">
        <f>HYPERLINK("https://browser.ihtsdotools.org/?perspective=full&amp;conceptId1=124226002&amp;edition=MAIN/SNOMEDCT-US/2020-03-01&amp;release=&amp;languages=en","124226002")</f>
        <v>124226002</v>
      </c>
      <c r="F187" t="s">
        <v>38</v>
      </c>
      <c r="H187" t="s">
        <v>17</v>
      </c>
      <c r="I187" t="s">
        <v>537</v>
      </c>
    </row>
    <row r="188" spans="1:9" x14ac:dyDescent="0.2">
      <c r="A188">
        <v>187</v>
      </c>
      <c r="B188" t="s">
        <v>538</v>
      </c>
      <c r="C188" t="s">
        <v>539</v>
      </c>
      <c r="D188" t="str">
        <f>HYPERLINK("https://browser.ihtsdotools.org/?perspective=full&amp;conceptId1=61515005&amp;edition=MAIN/SNOMEDCT-US/2020-03-01&amp;release=&amp;languages=en","61515005")</f>
        <v>61515005</v>
      </c>
      <c r="E188" t="str">
        <f>HYPERLINK("https://browser.ihtsdotools.org/?perspective=full&amp;conceptId1=24983003&amp;edition=MAIN/SNOMEDCT-US/2020-03-01&amp;release=&amp;languages=en","24983003")</f>
        <v>24983003</v>
      </c>
      <c r="F188" t="s">
        <v>38</v>
      </c>
      <c r="H188" t="s">
        <v>17</v>
      </c>
      <c r="I188" t="s">
        <v>540</v>
      </c>
    </row>
    <row r="189" spans="1:9" x14ac:dyDescent="0.2">
      <c r="A189">
        <v>188</v>
      </c>
      <c r="B189" t="s">
        <v>541</v>
      </c>
      <c r="C189" t="s">
        <v>542</v>
      </c>
      <c r="D189" t="str">
        <f>HYPERLINK("https://browser.ihtsdotools.org/?perspective=full&amp;conceptId1=305492009&amp;edition=MAIN/SNOMEDCT-US/2020-03-01&amp;release=&amp;languages=en","305492009")</f>
        <v>305492009</v>
      </c>
      <c r="E189" t="str">
        <f>HYPERLINK("https://browser.ihtsdotools.org/?perspective=full&amp;conceptId1=305544007&amp;edition=MAIN/SNOMEDCT-US/2020-03-01&amp;release=&amp;languages=en","305544007")</f>
        <v>305544007</v>
      </c>
      <c r="F189" t="s">
        <v>38</v>
      </c>
      <c r="H189" t="s">
        <v>17</v>
      </c>
      <c r="I189" t="s">
        <v>274</v>
      </c>
    </row>
    <row r="190" spans="1:9" x14ac:dyDescent="0.2">
      <c r="A190">
        <v>189</v>
      </c>
      <c r="B190" t="s">
        <v>543</v>
      </c>
      <c r="C190" t="s">
        <v>544</v>
      </c>
      <c r="D190" t="str">
        <f>HYPERLINK("https://browser.ihtsdotools.org/?perspective=full&amp;conceptId1=331961000119108&amp;edition=MAIN/SNOMEDCT-US/2020-03-01&amp;release=&amp;languages=en","331961000119108")</f>
        <v>331961000119108</v>
      </c>
      <c r="E190" t="str">
        <f>HYPERLINK("https://browser.ihtsdotools.org/?perspective=full&amp;conceptId1=336451000119108&amp;edition=MAIN/SNOMEDCT-US/2020-03-01&amp;release=&amp;languages=en","336451000119108")</f>
        <v>336451000119108</v>
      </c>
      <c r="F190" t="s">
        <v>38</v>
      </c>
      <c r="H190" t="s">
        <v>53</v>
      </c>
      <c r="I190" t="s">
        <v>545</v>
      </c>
    </row>
    <row r="191" spans="1:9" x14ac:dyDescent="0.2">
      <c r="A191">
        <v>190</v>
      </c>
      <c r="B191" t="s">
        <v>546</v>
      </c>
      <c r="C191" t="s">
        <v>547</v>
      </c>
      <c r="D191" t="str">
        <f>HYPERLINK("https://browser.ihtsdotools.org/?perspective=full&amp;conceptId1=672531000119106&amp;edition=MAIN/SNOMEDCT-US/2020-03-01&amp;release=&amp;languages=en","672531000119106")</f>
        <v>672531000119106</v>
      </c>
      <c r="E191" t="str">
        <f>HYPERLINK("https://browser.ihtsdotools.org/?perspective=full&amp;conceptId1=16260551000119106&amp;edition=MAIN/SNOMEDCT-US/2020-03-01&amp;release=&amp;languages=en","16260551000119106")</f>
        <v>16260551000119106</v>
      </c>
      <c r="F191" t="s">
        <v>38</v>
      </c>
      <c r="H191" t="s">
        <v>4</v>
      </c>
      <c r="I191" t="s">
        <v>548</v>
      </c>
    </row>
    <row r="192" spans="1:9" x14ac:dyDescent="0.2">
      <c r="A192">
        <v>191</v>
      </c>
      <c r="B192" t="s">
        <v>549</v>
      </c>
      <c r="C192" t="s">
        <v>550</v>
      </c>
      <c r="D192" t="str">
        <f>HYPERLINK("https://browser.ihtsdotools.org/?perspective=full&amp;conceptId1=85223007&amp;edition=MAIN/SNOMEDCT-US/2020-03-01&amp;release=&amp;languages=en","85223007")</f>
        <v>85223007</v>
      </c>
      <c r="E192" t="str">
        <f>HYPERLINK("https://browser.ihtsdotools.org/?perspective=full&amp;conceptId1=33603003&amp;edition=MAIN/SNOMEDCT-US/2020-03-01&amp;release=&amp;languages=en","33603003")</f>
        <v>33603003</v>
      </c>
      <c r="F192" t="s">
        <v>38</v>
      </c>
      <c r="H192" t="s">
        <v>17</v>
      </c>
      <c r="I192" t="s">
        <v>551</v>
      </c>
    </row>
    <row r="193" spans="1:10" x14ac:dyDescent="0.2">
      <c r="A193">
        <v>192</v>
      </c>
      <c r="B193" t="s">
        <v>552</v>
      </c>
      <c r="C193" t="s">
        <v>553</v>
      </c>
      <c r="D193" t="str">
        <f>HYPERLINK("https://browser.ihtsdotools.org/?perspective=full&amp;conceptId1=283254007&amp;edition=MAIN/SNOMEDCT-US/2020-03-01&amp;release=&amp;languages=en","283254007")</f>
        <v>283254007</v>
      </c>
      <c r="E193" t="str">
        <f>HYPERLINK("https://browser.ihtsdotools.org/?perspective=full&amp;conceptId1=283253001&amp;edition=MAIN/SNOMEDCT-US/2020-03-01&amp;release=&amp;languages=en","283253001")</f>
        <v>283253001</v>
      </c>
      <c r="F193" t="s">
        <v>2</v>
      </c>
      <c r="G193" t="s">
        <v>242</v>
      </c>
      <c r="H193" t="s">
        <v>45</v>
      </c>
      <c r="I193" t="s">
        <v>46</v>
      </c>
    </row>
    <row r="194" spans="1:10" x14ac:dyDescent="0.2">
      <c r="A194">
        <v>193</v>
      </c>
      <c r="B194" t="s">
        <v>400</v>
      </c>
      <c r="C194" t="s">
        <v>554</v>
      </c>
      <c r="D194" t="str">
        <f>HYPERLINK("https://browser.ihtsdotools.org/?perspective=full&amp;conceptId1=726196006&amp;edition=MAIN/SNOMEDCT-US/2020-03-01&amp;release=&amp;languages=en","726196006")</f>
        <v>726196006</v>
      </c>
      <c r="E194" t="str">
        <f>HYPERLINK("https://browser.ihtsdotools.org/?perspective=full&amp;conceptId1=726199004&amp;edition=MAIN/SNOMEDCT-US/2020-03-01&amp;release=&amp;languages=en","726199004")</f>
        <v>726199004</v>
      </c>
      <c r="F194" t="s">
        <v>2</v>
      </c>
      <c r="G194" t="s">
        <v>242</v>
      </c>
      <c r="H194" t="s">
        <v>30</v>
      </c>
      <c r="I194" t="s">
        <v>216</v>
      </c>
      <c r="J194" t="s">
        <v>307</v>
      </c>
    </row>
    <row r="195" spans="1:10" x14ac:dyDescent="0.2">
      <c r="A195">
        <v>194</v>
      </c>
      <c r="B195" t="s">
        <v>555</v>
      </c>
      <c r="C195" t="s">
        <v>556</v>
      </c>
      <c r="D195" t="str">
        <f>HYPERLINK("https://browser.ihtsdotools.org/?perspective=full&amp;conceptId1=10627751000119104&amp;edition=MAIN/SNOMEDCT-US/2020-03-01&amp;release=&amp;languages=en","10627751000119104")</f>
        <v>10627751000119104</v>
      </c>
      <c r="E195" t="str">
        <f>HYPERLINK("https://browser.ihtsdotools.org/?perspective=full&amp;conceptId1=400160003&amp;edition=MAIN/SNOMEDCT-US/2020-03-01&amp;release=&amp;languages=en","400160003")</f>
        <v>400160003</v>
      </c>
      <c r="F195" t="s">
        <v>38</v>
      </c>
      <c r="H195" t="s">
        <v>557</v>
      </c>
      <c r="I195" t="s">
        <v>558</v>
      </c>
      <c r="J195" t="s">
        <v>559</v>
      </c>
    </row>
    <row r="196" spans="1:10" x14ac:dyDescent="0.2">
      <c r="A196">
        <v>195</v>
      </c>
      <c r="B196" t="s">
        <v>560</v>
      </c>
      <c r="C196" t="s">
        <v>561</v>
      </c>
      <c r="D196" t="str">
        <f>HYPERLINK("https://browser.ihtsdotools.org/?perspective=full&amp;conceptId1=724693000&amp;edition=MAIN/SNOMEDCT-US/2020-03-01&amp;release=&amp;languages=en","724693000")</f>
        <v>724693000</v>
      </c>
      <c r="E196" t="str">
        <f>HYPERLINK("https://browser.ihtsdotools.org/?perspective=full&amp;conceptId1=762331007&amp;edition=MAIN/SNOMEDCT-US/2020-03-01&amp;release=&amp;languages=en","762331007")</f>
        <v>762331007</v>
      </c>
      <c r="F196" t="s">
        <v>38</v>
      </c>
      <c r="H196" t="s">
        <v>136</v>
      </c>
      <c r="I196" t="s">
        <v>562</v>
      </c>
      <c r="J196" t="s">
        <v>563</v>
      </c>
    </row>
    <row r="197" spans="1:10" x14ac:dyDescent="0.2">
      <c r="A197">
        <v>196</v>
      </c>
      <c r="B197" t="s">
        <v>564</v>
      </c>
      <c r="C197" t="s">
        <v>231</v>
      </c>
      <c r="D197" t="str">
        <f>HYPERLINK("https://browser.ihtsdotools.org/?perspective=full&amp;conceptId1=10680911000119107&amp;edition=MAIN/SNOMEDCT-US/2020-03-01&amp;release=&amp;languages=en","10680911000119107")</f>
        <v>10680911000119107</v>
      </c>
      <c r="E197" t="str">
        <f>HYPERLINK("https://browser.ihtsdotools.org/?perspective=full&amp;conceptId1=103001000119108&amp;edition=MAIN/SNOMEDCT-US/2020-03-01&amp;release=&amp;languages=en","103001000119108")</f>
        <v>103001000119108</v>
      </c>
      <c r="F197" t="s">
        <v>38</v>
      </c>
      <c r="H197" t="s">
        <v>557</v>
      </c>
      <c r="I197" t="s">
        <v>565</v>
      </c>
      <c r="J197" t="s">
        <v>566</v>
      </c>
    </row>
    <row r="198" spans="1:10" x14ac:dyDescent="0.2">
      <c r="A198">
        <v>197</v>
      </c>
      <c r="B198" t="s">
        <v>567</v>
      </c>
      <c r="C198" t="s">
        <v>568</v>
      </c>
      <c r="D198" t="str">
        <f>HYPERLINK("https://browser.ihtsdotools.org/?perspective=full&amp;conceptId1=724951003&amp;edition=MAIN/SNOMEDCT-US/2020-03-01&amp;release=&amp;languages=en","724951003")</f>
        <v>724951003</v>
      </c>
      <c r="E198" t="str">
        <f>HYPERLINK("https://browser.ihtsdotools.org/?perspective=full&amp;conceptId1=724954006&amp;edition=MAIN/SNOMEDCT-US/2020-03-01&amp;release=&amp;languages=en","724954006")</f>
        <v>724954006</v>
      </c>
      <c r="F198" t="s">
        <v>2</v>
      </c>
      <c r="G198" t="s">
        <v>242</v>
      </c>
      <c r="H198" t="s">
        <v>30</v>
      </c>
      <c r="I198" t="s">
        <v>216</v>
      </c>
      <c r="J198" t="s">
        <v>307</v>
      </c>
    </row>
    <row r="199" spans="1:10" x14ac:dyDescent="0.2">
      <c r="A199">
        <v>198</v>
      </c>
      <c r="B199" t="s">
        <v>569</v>
      </c>
      <c r="C199" t="s">
        <v>570</v>
      </c>
      <c r="D199" t="str">
        <f>HYPERLINK("https://browser.ihtsdotools.org/?perspective=full&amp;conceptId1=111275004&amp;edition=MAIN/SNOMEDCT-US/2020-03-01&amp;release=&amp;languages=en","111275004")</f>
        <v>111275004</v>
      </c>
      <c r="E199" t="str">
        <f>HYPERLINK("https://browser.ihtsdotools.org/?perspective=full&amp;conceptId1=363173007&amp;edition=MAIN/SNOMEDCT-US/2020-03-01&amp;release=&amp;languages=en","363173007")</f>
        <v>363173007</v>
      </c>
      <c r="F199" t="s">
        <v>38</v>
      </c>
      <c r="H199" t="s">
        <v>49</v>
      </c>
      <c r="I199" t="s">
        <v>50</v>
      </c>
      <c r="J199" t="s">
        <v>571</v>
      </c>
    </row>
    <row r="200" spans="1:10" x14ac:dyDescent="0.2">
      <c r="A200">
        <v>199</v>
      </c>
      <c r="B200" t="s">
        <v>572</v>
      </c>
      <c r="C200" t="s">
        <v>492</v>
      </c>
      <c r="D200" t="str">
        <f>HYPERLINK("https://browser.ihtsdotools.org/?perspective=full&amp;conceptId1=93807001&amp;edition=MAIN/SNOMEDCT-US/2020-03-01&amp;release=&amp;languages=en","93807001")</f>
        <v>93807001</v>
      </c>
      <c r="E200" t="str">
        <f>HYPERLINK("https://browser.ihtsdotools.org/?perspective=full&amp;conceptId1=188282004&amp;edition=MAIN/SNOMEDCT-US/2020-03-01&amp;release=&amp;languages=en","188282004")</f>
        <v>188282004</v>
      </c>
      <c r="F200" t="s">
        <v>38</v>
      </c>
      <c r="H200" t="s">
        <v>573</v>
      </c>
      <c r="I200" t="s">
        <v>574</v>
      </c>
      <c r="J200" t="s">
        <v>575</v>
      </c>
    </row>
    <row r="201" spans="1:10" x14ac:dyDescent="0.2">
      <c r="A201">
        <v>200</v>
      </c>
      <c r="B201" t="s">
        <v>576</v>
      </c>
      <c r="C201" t="s">
        <v>577</v>
      </c>
      <c r="D201" t="str">
        <f>HYPERLINK("https://browser.ihtsdotools.org/?perspective=full&amp;conceptId1=10824091000119105&amp;edition=MAIN/SNOMEDCT-US/2020-03-01&amp;release=&amp;languages=en","10824091000119105")</f>
        <v>10824091000119105</v>
      </c>
      <c r="E201" t="str">
        <f>HYPERLINK("https://browser.ihtsdotools.org/?perspective=full&amp;conceptId1=10834581000119100&amp;edition=MAIN/SNOMEDCT-US/2020-03-01&amp;release=&amp;languages=en","10834581000119100")</f>
        <v>10834581000119100</v>
      </c>
      <c r="F201" t="s">
        <v>2</v>
      </c>
      <c r="G201" t="s">
        <v>242</v>
      </c>
      <c r="H201" t="s">
        <v>45</v>
      </c>
      <c r="I201" t="s">
        <v>578</v>
      </c>
      <c r="J201"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Supplementary-Appendix-II-SNOME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Fengbo</dc:creator>
  <cp:lastModifiedBy>Cui, Licong</cp:lastModifiedBy>
  <dcterms:created xsi:type="dcterms:W3CDTF">2020-04-18T19:26:26Z</dcterms:created>
  <dcterms:modified xsi:type="dcterms:W3CDTF">2020-04-19T16:42:31Z</dcterms:modified>
</cp:coreProperties>
</file>