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5" windowWidth="20115" windowHeight="7875" firstSheet="1" activeTab="7"/>
  </bookViews>
  <sheets>
    <sheet name="Hoja1" sheetId="1" r:id="rId1"/>
    <sheet name="Hoja2" sheetId="2" r:id="rId2"/>
    <sheet name="Enero 30" sheetId="3" r:id="rId3"/>
    <sheet name="Febrero 15" sheetId="4" r:id="rId4"/>
    <sheet name="Febrero 28" sheetId="5" r:id="rId5"/>
    <sheet name="Marzo 15" sheetId="6" r:id="rId6"/>
    <sheet name="Junio 15" sheetId="7" r:id="rId7"/>
    <sheet name="Hoja3" sheetId="8" r:id="rId8"/>
  </sheets>
  <calcPr calcId="145621"/>
</workbook>
</file>

<file path=xl/calcChain.xml><?xml version="1.0" encoding="utf-8"?>
<calcChain xmlns="http://schemas.openxmlformats.org/spreadsheetml/2006/main">
  <c r="C11" i="8" l="1"/>
  <c r="B17" i="8"/>
  <c r="B11" i="8"/>
  <c r="F6" i="8"/>
  <c r="B15" i="8"/>
  <c r="B18" i="8" s="1"/>
  <c r="B9" i="8"/>
  <c r="M6" i="7"/>
  <c r="B19" i="8" l="1"/>
  <c r="L20" i="7"/>
  <c r="M20" i="7" s="1"/>
  <c r="K21" i="7"/>
  <c r="N21" i="7"/>
  <c r="D5" i="7"/>
  <c r="C5" i="7"/>
  <c r="B2" i="7"/>
  <c r="B15" i="7" s="1"/>
  <c r="H24" i="7"/>
  <c r="H11" i="7"/>
  <c r="H16" i="7" s="1"/>
  <c r="H12" i="7"/>
  <c r="G22" i="5" l="1"/>
  <c r="D4" i="5"/>
  <c r="D5" i="5" s="1"/>
  <c r="B2" i="6"/>
  <c r="E9" i="4"/>
  <c r="L15" i="4"/>
  <c r="E20" i="4"/>
  <c r="L14" i="4"/>
  <c r="E1" i="4"/>
  <c r="L16" i="4" l="1"/>
  <c r="B2" i="4"/>
  <c r="D2" i="4" s="1"/>
  <c r="E8" i="4"/>
  <c r="E6" i="4"/>
  <c r="D14" i="4"/>
  <c r="D16" i="4" s="1"/>
  <c r="D17" i="4" s="1"/>
  <c r="E16" i="4" l="1"/>
  <c r="E22" i="4" s="1"/>
  <c r="J16" i="4"/>
  <c r="D21" i="3" l="1"/>
  <c r="B2" i="5"/>
  <c r="B10" i="5" s="1"/>
  <c r="J7" i="4"/>
  <c r="B38" i="3" l="1"/>
  <c r="K46" i="3"/>
  <c r="K47" i="3" s="1"/>
  <c r="M34" i="3"/>
  <c r="D26" i="3" l="1"/>
  <c r="D12" i="3"/>
  <c r="K17" i="3"/>
  <c r="C33" i="3"/>
  <c r="K26" i="3" l="1"/>
  <c r="L46" i="3" s="1"/>
  <c r="L5" i="3"/>
  <c r="E22" i="3"/>
  <c r="E20" i="3"/>
  <c r="E26" i="3"/>
  <c r="E23" i="3"/>
  <c r="E21" i="3"/>
  <c r="B29" i="3"/>
  <c r="D27" i="3"/>
  <c r="D25" i="3"/>
  <c r="D23" i="3"/>
  <c r="B2" i="3"/>
  <c r="D2" i="3" s="1"/>
  <c r="B3" i="3"/>
  <c r="D3" i="3" s="1"/>
  <c r="D24" i="3"/>
  <c r="D22" i="3"/>
  <c r="D20" i="3"/>
  <c r="E29" i="3" l="1"/>
  <c r="B18" i="3"/>
  <c r="B31" i="3" s="1"/>
  <c r="J8" i="3"/>
  <c r="D29" i="3"/>
  <c r="E10" i="2"/>
  <c r="D32" i="2"/>
  <c r="A36" i="2"/>
  <c r="C11" i="2"/>
  <c r="B11" i="2" s="1"/>
  <c r="E9" i="2"/>
  <c r="C1" i="2"/>
  <c r="C28" i="2"/>
  <c r="B28" i="2" s="1"/>
  <c r="H11" i="2"/>
  <c r="G11" i="2" s="1"/>
  <c r="E32" i="2" l="1"/>
  <c r="F32" i="2" s="1"/>
  <c r="C27" i="1" l="1"/>
  <c r="B27" i="1" s="1"/>
  <c r="A35" i="1"/>
  <c r="D31" i="1"/>
  <c r="E8" i="1"/>
  <c r="E7" i="1"/>
  <c r="E5" i="1"/>
  <c r="E14" i="1"/>
  <c r="E19" i="1"/>
  <c r="E21" i="1"/>
  <c r="E22" i="1"/>
  <c r="E31" i="1" l="1"/>
  <c r="F31" i="1" s="1"/>
  <c r="B1" i="1"/>
  <c r="A10" i="1"/>
  <c r="C10" i="1"/>
  <c r="H10" i="1"/>
  <c r="G10" i="1" s="1"/>
  <c r="B10" i="1" l="1"/>
  <c r="B32" i="1" s="1"/>
</calcChain>
</file>

<file path=xl/sharedStrings.xml><?xml version="1.0" encoding="utf-8"?>
<sst xmlns="http://schemas.openxmlformats.org/spreadsheetml/2006/main" count="309" uniqueCount="153">
  <si>
    <t>AHORRO</t>
  </si>
  <si>
    <t>Apto</t>
  </si>
  <si>
    <t>Moto</t>
  </si>
  <si>
    <t>American</t>
  </si>
  <si>
    <t>TC</t>
  </si>
  <si>
    <t>comida</t>
  </si>
  <si>
    <t>Chaqueta moto</t>
  </si>
  <si>
    <t>Movistar</t>
  </si>
  <si>
    <t>Claro</t>
  </si>
  <si>
    <t>Doris</t>
  </si>
  <si>
    <t>Servicios</t>
  </si>
  <si>
    <t>Ariana</t>
  </si>
  <si>
    <t>Syndy</t>
  </si>
  <si>
    <t>Abono Liquidacion</t>
  </si>
  <si>
    <t>Salario</t>
  </si>
  <si>
    <t>Prima</t>
  </si>
  <si>
    <t xml:space="preserve">Vida nueva </t>
  </si>
  <si>
    <t>V 16/12/2013</t>
  </si>
  <si>
    <t>Mamá</t>
  </si>
  <si>
    <t>Prima Doris</t>
  </si>
  <si>
    <t>Mama</t>
  </si>
  <si>
    <t>Carro</t>
  </si>
  <si>
    <t>Regalos Syndy</t>
  </si>
  <si>
    <t>Botas + ropa</t>
  </si>
  <si>
    <t>Zonta T</t>
  </si>
  <si>
    <t>Gastos 31 + Doris</t>
  </si>
  <si>
    <t>Agua</t>
  </si>
  <si>
    <t>Gas 50 - pagado</t>
  </si>
  <si>
    <t>Luz</t>
  </si>
  <si>
    <t>-</t>
  </si>
  <si>
    <t>RENASERES</t>
  </si>
  <si>
    <t>1,209,956</t>
  </si>
  <si>
    <t>Celular Movistar</t>
  </si>
  <si>
    <t>Gas</t>
  </si>
  <si>
    <t>Energia</t>
  </si>
  <si>
    <t>Tigo</t>
  </si>
  <si>
    <t>Apto Cali</t>
  </si>
  <si>
    <t>American Express</t>
  </si>
  <si>
    <t>Braquets</t>
  </si>
  <si>
    <t>Master Card</t>
  </si>
  <si>
    <t>Comida 15</t>
  </si>
  <si>
    <t>Comida 30</t>
  </si>
  <si>
    <t>Arrendo</t>
  </si>
  <si>
    <t>Salud Syndy</t>
  </si>
  <si>
    <t>Ahorro</t>
  </si>
  <si>
    <t>A partir de 31/07/2017 800000</t>
  </si>
  <si>
    <t>Parte II Especializacion 2 Semestre</t>
  </si>
  <si>
    <t>01/07/2017 - 31/12/2017 750000</t>
  </si>
  <si>
    <t>dyt</t>
  </si>
  <si>
    <t>renaseres</t>
  </si>
  <si>
    <t>Lector de Huella</t>
  </si>
  <si>
    <t>Tiquetes pasto</t>
  </si>
  <si>
    <t>Pago 15</t>
  </si>
  <si>
    <t>Pago 30</t>
  </si>
  <si>
    <t>Parqueadero Moto Trabajo</t>
  </si>
  <si>
    <t>Parqueadero Moto Universidad</t>
  </si>
  <si>
    <t>Cursos SYNDY</t>
  </si>
  <si>
    <t>Tiquetes Syndy</t>
  </si>
  <si>
    <t>Sueldo Syndy</t>
  </si>
  <si>
    <t>Sueldo 30/01/2017</t>
  </si>
  <si>
    <t>Imprevistos 30</t>
  </si>
  <si>
    <t>Imprevistos 15</t>
  </si>
  <si>
    <t>*renaseres</t>
  </si>
  <si>
    <t>Reserva para especializacion</t>
  </si>
  <si>
    <t>Parte I Especializacion 2' renasres+ 1' prima</t>
  </si>
  <si>
    <t>X</t>
  </si>
  <si>
    <t>Curso*</t>
  </si>
  <si>
    <t>Parqueadero Moto Trabajo*</t>
  </si>
  <si>
    <t>Parqueadero Moto Universidad*</t>
  </si>
  <si>
    <t>* 600000 01/02</t>
  </si>
  <si>
    <t>Comida</t>
  </si>
  <si>
    <t>Perdidos</t>
  </si>
  <si>
    <t>Verduras</t>
  </si>
  <si>
    <t>Almuerzo sabado 4/02/2017</t>
  </si>
  <si>
    <t>pepe ganga</t>
  </si>
  <si>
    <t>Cuadernos</t>
  </si>
  <si>
    <t>En Casa</t>
  </si>
  <si>
    <t>Cremas</t>
  </si>
  <si>
    <t>?</t>
  </si>
  <si>
    <t>Tiquetes Felipe</t>
  </si>
  <si>
    <t>EPS Syndy</t>
  </si>
  <si>
    <t>Renaseres</t>
  </si>
  <si>
    <t>Abril</t>
  </si>
  <si>
    <t>LDAP XBRL</t>
  </si>
  <si>
    <t>Sueldo</t>
  </si>
  <si>
    <t>Drogueria</t>
  </si>
  <si>
    <t>Saldo 30</t>
  </si>
  <si>
    <t>Gasolina</t>
  </si>
  <si>
    <t>ok</t>
  </si>
  <si>
    <t>Lavada Moto</t>
  </si>
  <si>
    <t>Leche ari</t>
  </si>
  <si>
    <t>FEL</t>
  </si>
  <si>
    <t>EFE</t>
  </si>
  <si>
    <t>BANCOLOMBIA</t>
  </si>
  <si>
    <t>BOGOTA</t>
  </si>
  <si>
    <t>50000 fel</t>
  </si>
  <si>
    <t>Impe</t>
  </si>
  <si>
    <t>fel</t>
  </si>
  <si>
    <t>Bebe</t>
  </si>
  <si>
    <t>Champu Ari</t>
  </si>
  <si>
    <t xml:space="preserve">Comida 30 </t>
  </si>
  <si>
    <t>Pendiente</t>
  </si>
  <si>
    <t>Gasolina Moto 20000</t>
  </si>
  <si>
    <t>Revision TecnicoMecanica Carro</t>
  </si>
  <si>
    <t>Impuestos Carro</t>
  </si>
  <si>
    <t>Seguro Carro</t>
  </si>
  <si>
    <t>Lavada Carro</t>
  </si>
  <si>
    <t>Gasolina Carro</t>
  </si>
  <si>
    <t>Imprevistos</t>
  </si>
  <si>
    <t>GASTOS</t>
  </si>
  <si>
    <t>INGRESOS</t>
  </si>
  <si>
    <t>Saldo 15/02</t>
  </si>
  <si>
    <t>Nomina</t>
  </si>
  <si>
    <t>Efectivo 750000</t>
  </si>
  <si>
    <t>B. Bogota</t>
  </si>
  <si>
    <t>Saldo 27/02/2017</t>
  </si>
  <si>
    <t>Cancelacion CCC</t>
  </si>
  <si>
    <t>Tablero</t>
  </si>
  <si>
    <t>GASTOS MENSUALES</t>
  </si>
  <si>
    <t>CUENTAS POR PAGAR</t>
  </si>
  <si>
    <t>GASTOS POR HACER</t>
  </si>
  <si>
    <t>ARRENDO</t>
  </si>
  <si>
    <t>GAS</t>
  </si>
  <si>
    <t>AGUA</t>
  </si>
  <si>
    <t>ENERGIA</t>
  </si>
  <si>
    <t>CAMILA</t>
  </si>
  <si>
    <t>TIGO</t>
  </si>
  <si>
    <t>BRAQUETS</t>
  </si>
  <si>
    <t>FECHA ESTIMADA</t>
  </si>
  <si>
    <t>MOVISTAR</t>
  </si>
  <si>
    <t>COMIDA 15</t>
  </si>
  <si>
    <t>COMIDA 30</t>
  </si>
  <si>
    <t>SALDO</t>
  </si>
  <si>
    <t>AMERICAN EXPRESS</t>
  </si>
  <si>
    <t>MOTO</t>
  </si>
  <si>
    <t>MASTER CARD</t>
  </si>
  <si>
    <t>CARRO</t>
  </si>
  <si>
    <t>TARJETA PROFESIONAL</t>
  </si>
  <si>
    <t>IMPREVISTOS</t>
  </si>
  <si>
    <t>ETB</t>
  </si>
  <si>
    <t>APTO</t>
  </si>
  <si>
    <t>UNIVERSIDAD</t>
  </si>
  <si>
    <t>Camila</t>
  </si>
  <si>
    <t>Casa</t>
  </si>
  <si>
    <t>Salario 15 junio</t>
  </si>
  <si>
    <t>gasto del mes</t>
  </si>
  <si>
    <t>Oscar</t>
  </si>
  <si>
    <t>Agosto</t>
  </si>
  <si>
    <t>Octubre</t>
  </si>
  <si>
    <t>apto</t>
  </si>
  <si>
    <t>CREDITO</t>
  </si>
  <si>
    <t>QUINCENA</t>
  </si>
  <si>
    <t>QUINCENA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</si>
</sst>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rgb="FF000000"/>
      <name val="Segoe UI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43" fontId="0" fillId="0" borderId="0" xfId="1" applyFont="1"/>
    <xf numFmtId="43" fontId="0" fillId="0" borderId="0" xfId="0" applyNumberFormat="1"/>
    <xf numFmtId="43" fontId="2" fillId="0" borderId="0" xfId="1" applyFont="1"/>
    <xf numFmtId="43" fontId="0" fillId="2" borderId="0" xfId="1" applyFont="1" applyFill="1"/>
    <xf numFmtId="43" fontId="3" fillId="0" borderId="0" xfId="0" applyNumberFormat="1" applyFont="1"/>
    <xf numFmtId="43" fontId="0" fillId="3" borderId="0" xfId="1" applyFont="1" applyFill="1"/>
    <xf numFmtId="43" fontId="0" fillId="4" borderId="0" xfId="1" applyFont="1" applyFill="1"/>
    <xf numFmtId="0" fontId="4" fillId="0" borderId="0" xfId="0" applyFont="1"/>
    <xf numFmtId="14" fontId="0" fillId="0" borderId="0" xfId="0" applyNumberFormat="1"/>
    <xf numFmtId="0" fontId="0" fillId="5" borderId="0" xfId="0" applyFill="1"/>
    <xf numFmtId="0" fontId="0" fillId="6" borderId="0" xfId="0" applyFill="1"/>
    <xf numFmtId="43" fontId="0" fillId="5" borderId="0" xfId="1" applyFont="1" applyFill="1"/>
    <xf numFmtId="43" fontId="0" fillId="7" borderId="0" xfId="1" applyFont="1" applyFill="1"/>
    <xf numFmtId="43" fontId="0" fillId="8" borderId="0" xfId="1" applyFont="1" applyFill="1"/>
    <xf numFmtId="43" fontId="0" fillId="9" borderId="0" xfId="1" applyFont="1" applyFill="1"/>
    <xf numFmtId="43" fontId="0" fillId="10" borderId="0" xfId="1" applyFont="1" applyFill="1"/>
    <xf numFmtId="43" fontId="0" fillId="0" borderId="0" xfId="0" applyNumberFormat="1" applyFill="1"/>
    <xf numFmtId="43" fontId="0" fillId="11" borderId="0" xfId="1" applyFont="1" applyFill="1"/>
    <xf numFmtId="43" fontId="0" fillId="9" borderId="0" xfId="0" applyNumberFormat="1" applyFill="1"/>
    <xf numFmtId="17" fontId="0" fillId="0" borderId="0" xfId="0" applyNumberFormat="1"/>
    <xf numFmtId="43" fontId="0" fillId="10" borderId="0" xfId="0" applyNumberFormat="1" applyFill="1"/>
    <xf numFmtId="0" fontId="0" fillId="12" borderId="0" xfId="0" applyFill="1"/>
    <xf numFmtId="43" fontId="0" fillId="12" borderId="0" xfId="1" applyFont="1" applyFill="1"/>
    <xf numFmtId="0" fontId="0" fillId="13" borderId="0" xfId="0" applyFill="1"/>
    <xf numFmtId="43" fontId="0" fillId="13" borderId="0" xfId="1" applyFont="1" applyFill="1"/>
    <xf numFmtId="14" fontId="0" fillId="0" borderId="0" xfId="1" applyNumberFormat="1" applyFont="1"/>
    <xf numFmtId="43" fontId="0" fillId="14" borderId="0" xfId="1" applyFont="1" applyFill="1"/>
    <xf numFmtId="43" fontId="5" fillId="14" borderId="0" xfId="1" applyFont="1" applyFill="1"/>
    <xf numFmtId="43" fontId="5" fillId="14" borderId="0" xfId="0" applyNumberFormat="1" applyFont="1" applyFill="1"/>
    <xf numFmtId="0" fontId="0" fillId="15" borderId="0" xfId="0" applyFill="1"/>
    <xf numFmtId="164" fontId="0" fillId="0" borderId="0" xfId="0" applyNumberFormat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0" fontId="2" fillId="0" borderId="0" xfId="0" applyFont="1"/>
    <xf numFmtId="43" fontId="2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4" workbookViewId="0">
      <selection activeCell="D13" sqref="D13"/>
    </sheetView>
  </sheetViews>
  <sheetFormatPr baseColWidth="10" defaultRowHeight="15" x14ac:dyDescent="0.25"/>
  <cols>
    <col min="1" max="1" width="13.140625" bestFit="1" customWidth="1"/>
    <col min="2" max="2" width="14.140625" style="1" bestFit="1" customWidth="1"/>
    <col min="3" max="3" width="13.140625" style="1" bestFit="1" customWidth="1"/>
    <col min="4" max="4" width="18.85546875" customWidth="1"/>
    <col min="5" max="5" width="13.140625" style="1" bestFit="1" customWidth="1"/>
    <col min="6" max="6" width="17.5703125" bestFit="1" customWidth="1"/>
    <col min="7" max="8" width="13.140625" bestFit="1" customWidth="1"/>
  </cols>
  <sheetData>
    <row r="1" spans="1:9" x14ac:dyDescent="0.25">
      <c r="A1" t="s">
        <v>12</v>
      </c>
      <c r="B1" s="1">
        <f>1500000-400000</f>
        <v>1100000</v>
      </c>
      <c r="C1" s="1">
        <v>500000</v>
      </c>
      <c r="D1" t="s">
        <v>0</v>
      </c>
    </row>
    <row r="5" spans="1:9" x14ac:dyDescent="0.25">
      <c r="A5" t="s">
        <v>13</v>
      </c>
      <c r="B5" s="1">
        <v>3020546.26</v>
      </c>
      <c r="C5" s="4">
        <v>1656716</v>
      </c>
      <c r="D5" t="s">
        <v>1</v>
      </c>
      <c r="E5" s="1">
        <f>C5</f>
        <v>1656716</v>
      </c>
      <c r="F5" t="s">
        <v>13</v>
      </c>
      <c r="G5" s="1">
        <v>3000000</v>
      </c>
      <c r="H5" s="1">
        <v>1650000</v>
      </c>
      <c r="I5" t="s">
        <v>1</v>
      </c>
    </row>
    <row r="6" spans="1:9" x14ac:dyDescent="0.25">
      <c r="C6" s="1">
        <v>380000</v>
      </c>
      <c r="D6" t="s">
        <v>2</v>
      </c>
      <c r="G6" s="1"/>
      <c r="H6" s="1">
        <v>600000</v>
      </c>
      <c r="I6" t="s">
        <v>4</v>
      </c>
    </row>
    <row r="7" spans="1:9" x14ac:dyDescent="0.25">
      <c r="C7" s="4">
        <v>719694</v>
      </c>
      <c r="D7" t="s">
        <v>3</v>
      </c>
      <c r="E7" s="1">
        <f>C7</f>
        <v>719694</v>
      </c>
      <c r="H7" s="1">
        <v>400000</v>
      </c>
      <c r="I7" t="s">
        <v>2</v>
      </c>
    </row>
    <row r="8" spans="1:9" x14ac:dyDescent="0.25">
      <c r="C8" s="4">
        <v>346892</v>
      </c>
      <c r="D8" t="s">
        <v>7</v>
      </c>
      <c r="E8" s="1">
        <f>C8</f>
        <v>346892</v>
      </c>
      <c r="G8" s="1"/>
      <c r="H8" s="1">
        <v>300000</v>
      </c>
      <c r="I8" t="s">
        <v>18</v>
      </c>
    </row>
    <row r="9" spans="1:9" x14ac:dyDescent="0.25">
      <c r="G9" s="1"/>
      <c r="H9" s="1"/>
    </row>
    <row r="10" spans="1:9" x14ac:dyDescent="0.25">
      <c r="A10" s="2">
        <f>B5-C5-C8-C7</f>
        <v>297244.25999999978</v>
      </c>
      <c r="B10" s="1">
        <f>B5-C10</f>
        <v>-82755.740000000224</v>
      </c>
      <c r="C10" s="1">
        <f>SUM(C5:C9)</f>
        <v>3103302</v>
      </c>
      <c r="G10" s="1">
        <f>G5-H10</f>
        <v>50000</v>
      </c>
      <c r="H10" s="1">
        <f>SUM(H5:H9)</f>
        <v>2950000</v>
      </c>
    </row>
    <row r="12" spans="1:9" x14ac:dyDescent="0.25">
      <c r="A12" t="s">
        <v>15</v>
      </c>
      <c r="B12" s="1">
        <v>1125000</v>
      </c>
    </row>
    <row r="13" spans="1:9" x14ac:dyDescent="0.25">
      <c r="A13" t="s">
        <v>14</v>
      </c>
      <c r="B13" s="1">
        <v>2250000</v>
      </c>
      <c r="C13" s="1">
        <v>400000</v>
      </c>
      <c r="D13" t="s">
        <v>4</v>
      </c>
    </row>
    <row r="14" spans="1:9" x14ac:dyDescent="0.25">
      <c r="C14" s="1">
        <v>600000</v>
      </c>
      <c r="D14" t="s">
        <v>5</v>
      </c>
      <c r="E14" s="1">
        <f>220000+72150+16750</f>
        <v>308900</v>
      </c>
    </row>
    <row r="15" spans="1:9" x14ac:dyDescent="0.25">
      <c r="C15" s="1">
        <v>300000</v>
      </c>
      <c r="D15" t="s">
        <v>6</v>
      </c>
    </row>
    <row r="16" spans="1:9" x14ac:dyDescent="0.25">
      <c r="C16" s="1">
        <v>200000</v>
      </c>
      <c r="D16" t="s">
        <v>11</v>
      </c>
      <c r="E16" s="1">
        <v>90000</v>
      </c>
    </row>
    <row r="17" spans="1:6" x14ac:dyDescent="0.25">
      <c r="C17" s="1">
        <v>100000</v>
      </c>
      <c r="D17" t="s">
        <v>8</v>
      </c>
    </row>
    <row r="18" spans="1:6" x14ac:dyDescent="0.25">
      <c r="C18" s="1">
        <v>200000</v>
      </c>
      <c r="D18" t="s">
        <v>9</v>
      </c>
    </row>
    <row r="19" spans="1:6" x14ac:dyDescent="0.25">
      <c r="C19" s="1">
        <v>50000</v>
      </c>
      <c r="D19" t="s">
        <v>17</v>
      </c>
      <c r="E19" s="1">
        <f>C19</f>
        <v>50000</v>
      </c>
    </row>
    <row r="20" spans="1:6" x14ac:dyDescent="0.25">
      <c r="C20" s="1">
        <v>100000</v>
      </c>
      <c r="D20" t="s">
        <v>10</v>
      </c>
    </row>
    <row r="21" spans="1:6" x14ac:dyDescent="0.25">
      <c r="C21" s="1">
        <v>100000</v>
      </c>
      <c r="D21" t="s">
        <v>19</v>
      </c>
      <c r="E21" s="1">
        <f>C21</f>
        <v>100000</v>
      </c>
    </row>
    <row r="22" spans="1:6" x14ac:dyDescent="0.25">
      <c r="C22" s="1">
        <v>100000</v>
      </c>
      <c r="D22" t="s">
        <v>22</v>
      </c>
      <c r="E22" s="1">
        <f>C22</f>
        <v>100000</v>
      </c>
    </row>
    <row r="23" spans="1:6" x14ac:dyDescent="0.25">
      <c r="C23" s="1">
        <v>400000</v>
      </c>
      <c r="D23" t="s">
        <v>20</v>
      </c>
      <c r="E23" s="1">
        <v>400000</v>
      </c>
    </row>
    <row r="24" spans="1:6" x14ac:dyDescent="0.25">
      <c r="C24" s="1">
        <v>200000</v>
      </c>
      <c r="D24" t="s">
        <v>21</v>
      </c>
      <c r="E24" s="1">
        <v>200000</v>
      </c>
    </row>
    <row r="25" spans="1:6" x14ac:dyDescent="0.25">
      <c r="C25" s="1">
        <v>80000</v>
      </c>
      <c r="D25" t="s">
        <v>24</v>
      </c>
      <c r="E25" s="1">
        <v>80000</v>
      </c>
    </row>
    <row r="26" spans="1:6" x14ac:dyDescent="0.25">
      <c r="C26" s="1">
        <v>100000</v>
      </c>
      <c r="D26" t="s">
        <v>23</v>
      </c>
      <c r="E26" s="1">
        <v>75000</v>
      </c>
    </row>
    <row r="27" spans="1:6" x14ac:dyDescent="0.25">
      <c r="B27" s="1">
        <f>B13+B12-C27</f>
        <v>445000</v>
      </c>
      <c r="C27" s="1">
        <f>SUM(C13:C26)</f>
        <v>2930000</v>
      </c>
    </row>
    <row r="29" spans="1:6" x14ac:dyDescent="0.25">
      <c r="A29" t="s">
        <v>16</v>
      </c>
      <c r="B29" s="1">
        <v>700000</v>
      </c>
    </row>
    <row r="30" spans="1:6" x14ac:dyDescent="0.25">
      <c r="C30" s="1">
        <v>400000</v>
      </c>
    </row>
    <row r="31" spans="1:6" x14ac:dyDescent="0.25">
      <c r="D31" s="2">
        <f>B5+B13+B29+B12</f>
        <v>7095546.2599999998</v>
      </c>
      <c r="E31" s="1">
        <f>SUM(E5:E30)</f>
        <v>4127202</v>
      </c>
      <c r="F31" s="5">
        <f>D31-E31</f>
        <v>2968344.26</v>
      </c>
    </row>
    <row r="32" spans="1:6" x14ac:dyDescent="0.25">
      <c r="A32" s="1">
        <v>2020231</v>
      </c>
      <c r="B32" s="3">
        <f>B27+B10+B12+B29</f>
        <v>2187244.2599999998</v>
      </c>
    </row>
    <row r="33" spans="1:1" customFormat="1" x14ac:dyDescent="0.25">
      <c r="A33" s="1">
        <v>597251.59</v>
      </c>
    </row>
    <row r="34" spans="1:1" customFormat="1" x14ac:dyDescent="0.25">
      <c r="A34" s="1">
        <v>250000</v>
      </c>
    </row>
    <row r="35" spans="1:1" customFormat="1" x14ac:dyDescent="0.25">
      <c r="A35" s="5">
        <f>SUM(A32:A33)</f>
        <v>2617482.59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9" workbookViewId="0">
      <selection activeCell="C9" sqref="C9"/>
    </sheetView>
  </sheetViews>
  <sheetFormatPr baseColWidth="10" defaultRowHeight="15" x14ac:dyDescent="0.25"/>
  <cols>
    <col min="1" max="1" width="17.5703125" bestFit="1" customWidth="1"/>
    <col min="2" max="2" width="14.140625" style="1" bestFit="1" customWidth="1"/>
    <col min="3" max="3" width="13.140625" style="1" bestFit="1" customWidth="1"/>
    <col min="4" max="4" width="18.85546875" customWidth="1"/>
    <col min="5" max="5" width="13.140625" style="1" bestFit="1" customWidth="1"/>
    <col min="6" max="6" width="17.5703125" bestFit="1" customWidth="1"/>
    <col min="7" max="8" width="13.140625" bestFit="1" customWidth="1"/>
  </cols>
  <sheetData>
    <row r="1" spans="1:9" x14ac:dyDescent="0.25">
      <c r="A1" t="s">
        <v>12</v>
      </c>
      <c r="B1" s="1">
        <v>1500000</v>
      </c>
      <c r="C1" s="1">
        <f>B1</f>
        <v>1500000</v>
      </c>
      <c r="D1" t="s">
        <v>0</v>
      </c>
    </row>
    <row r="5" spans="1:9" x14ac:dyDescent="0.25">
      <c r="A5" t="s">
        <v>13</v>
      </c>
      <c r="B5" s="1">
        <v>3000000</v>
      </c>
      <c r="C5" s="6">
        <v>1650000</v>
      </c>
      <c r="D5" t="s">
        <v>1</v>
      </c>
      <c r="F5" t="s">
        <v>13</v>
      </c>
      <c r="G5" s="1">
        <v>3000000</v>
      </c>
      <c r="H5" s="1">
        <v>1650000</v>
      </c>
      <c r="I5" t="s">
        <v>1</v>
      </c>
    </row>
    <row r="6" spans="1:9" x14ac:dyDescent="0.25">
      <c r="C6" s="6">
        <v>200000</v>
      </c>
      <c r="D6" t="s">
        <v>4</v>
      </c>
      <c r="G6" s="1"/>
      <c r="H6" s="1">
        <v>1000000</v>
      </c>
      <c r="I6" t="s">
        <v>4</v>
      </c>
    </row>
    <row r="7" spans="1:9" x14ac:dyDescent="0.25">
      <c r="C7" s="6"/>
      <c r="H7" s="1"/>
    </row>
    <row r="8" spans="1:9" x14ac:dyDescent="0.25">
      <c r="A8" s="8" t="s">
        <v>31</v>
      </c>
      <c r="C8" s="6">
        <v>346892</v>
      </c>
      <c r="D8" t="s">
        <v>7</v>
      </c>
      <c r="G8" s="1"/>
      <c r="H8" s="1">
        <v>200000</v>
      </c>
      <c r="I8" t="s">
        <v>18</v>
      </c>
    </row>
    <row r="9" spans="1:9" x14ac:dyDescent="0.25">
      <c r="C9" s="6">
        <v>200000</v>
      </c>
      <c r="D9" t="s">
        <v>18</v>
      </c>
      <c r="E9" s="1">
        <f>C9</f>
        <v>200000</v>
      </c>
      <c r="G9" s="1"/>
      <c r="H9" s="1"/>
    </row>
    <row r="10" spans="1:9" x14ac:dyDescent="0.25">
      <c r="C10" s="1">
        <v>600000</v>
      </c>
      <c r="D10" t="s">
        <v>25</v>
      </c>
      <c r="E10" s="1">
        <f>50000+150000+100000</f>
        <v>300000</v>
      </c>
      <c r="G10" s="1"/>
      <c r="H10" s="1"/>
    </row>
    <row r="11" spans="1:9" x14ac:dyDescent="0.25">
      <c r="A11" s="2"/>
      <c r="B11" s="1">
        <f>B5-C11</f>
        <v>3108</v>
      </c>
      <c r="C11" s="1">
        <f>SUM(C5:C10)</f>
        <v>2996892</v>
      </c>
      <c r="G11" s="1">
        <f>G5-H11</f>
        <v>150000</v>
      </c>
      <c r="H11" s="1">
        <f>SUM(H5:H10)</f>
        <v>2850000</v>
      </c>
    </row>
    <row r="13" spans="1:9" x14ac:dyDescent="0.25">
      <c r="A13" t="s">
        <v>15</v>
      </c>
    </row>
    <row r="14" spans="1:9" x14ac:dyDescent="0.25">
      <c r="A14" t="s">
        <v>14</v>
      </c>
      <c r="B14" s="1">
        <v>2206000</v>
      </c>
      <c r="C14" s="1">
        <v>0</v>
      </c>
      <c r="D14" t="s">
        <v>4</v>
      </c>
    </row>
    <row r="15" spans="1:9" x14ac:dyDescent="0.25">
      <c r="C15" s="1">
        <v>600000</v>
      </c>
      <c r="D15" t="s">
        <v>5</v>
      </c>
    </row>
    <row r="17" spans="1:6" x14ac:dyDescent="0.25">
      <c r="C17" s="1">
        <v>200000</v>
      </c>
      <c r="D17" t="s">
        <v>11</v>
      </c>
    </row>
    <row r="18" spans="1:6" x14ac:dyDescent="0.25">
      <c r="C18" s="1">
        <v>100000</v>
      </c>
      <c r="D18" t="s">
        <v>8</v>
      </c>
    </row>
    <row r="19" spans="1:6" x14ac:dyDescent="0.25">
      <c r="C19" s="1">
        <v>100000</v>
      </c>
      <c r="D19" t="s">
        <v>9</v>
      </c>
    </row>
    <row r="20" spans="1:6" x14ac:dyDescent="0.25">
      <c r="C20" s="1">
        <v>100000</v>
      </c>
      <c r="D20" t="s">
        <v>26</v>
      </c>
    </row>
    <row r="21" spans="1:6" x14ac:dyDescent="0.25">
      <c r="C21" s="1">
        <v>0</v>
      </c>
      <c r="D21" t="s">
        <v>27</v>
      </c>
    </row>
    <row r="22" spans="1:6" x14ac:dyDescent="0.25">
      <c r="C22" s="1">
        <v>500000</v>
      </c>
      <c r="D22" t="s">
        <v>21</v>
      </c>
    </row>
    <row r="23" spans="1:6" x14ac:dyDescent="0.25">
      <c r="C23" s="1">
        <v>50000</v>
      </c>
      <c r="D23" t="s">
        <v>28</v>
      </c>
    </row>
    <row r="24" spans="1:6" x14ac:dyDescent="0.25">
      <c r="D24" t="s">
        <v>29</v>
      </c>
    </row>
    <row r="25" spans="1:6" x14ac:dyDescent="0.25">
      <c r="C25" s="1">
        <v>200000</v>
      </c>
      <c r="D25" t="s">
        <v>21</v>
      </c>
    </row>
    <row r="26" spans="1:6" x14ac:dyDescent="0.25">
      <c r="D26" t="s">
        <v>29</v>
      </c>
    </row>
    <row r="27" spans="1:6" x14ac:dyDescent="0.25">
      <c r="D27" t="s">
        <v>29</v>
      </c>
    </row>
    <row r="28" spans="1:6" x14ac:dyDescent="0.25">
      <c r="B28" s="1">
        <f>B14+B13-C28</f>
        <v>356000</v>
      </c>
      <c r="C28" s="1">
        <f>SUM(C14:C27)</f>
        <v>1850000</v>
      </c>
      <c r="D28" t="s">
        <v>29</v>
      </c>
    </row>
    <row r="29" spans="1:6" x14ac:dyDescent="0.25">
      <c r="D29" t="s">
        <v>29</v>
      </c>
    </row>
    <row r="30" spans="1:6" x14ac:dyDescent="0.25">
      <c r="A30" t="s">
        <v>16</v>
      </c>
      <c r="B30" s="1">
        <v>122000</v>
      </c>
      <c r="D30" t="s">
        <v>29</v>
      </c>
    </row>
    <row r="31" spans="1:6" x14ac:dyDescent="0.25">
      <c r="A31" t="s">
        <v>30</v>
      </c>
      <c r="B31" s="1">
        <v>0</v>
      </c>
      <c r="D31" t="s">
        <v>29</v>
      </c>
    </row>
    <row r="32" spans="1:6" x14ac:dyDescent="0.25">
      <c r="D32" s="2">
        <f>B5+B14+B30+B13+B31</f>
        <v>5328000</v>
      </c>
      <c r="E32" s="1">
        <f>SUM(E5:E31)</f>
        <v>500000</v>
      </c>
      <c r="F32" s="5">
        <f>D32-E32</f>
        <v>4828000</v>
      </c>
    </row>
    <row r="33" spans="1:5" x14ac:dyDescent="0.25">
      <c r="A33" s="1">
        <v>2321016</v>
      </c>
      <c r="B33" s="3"/>
    </row>
    <row r="34" spans="1:5" x14ac:dyDescent="0.25">
      <c r="A34" s="7">
        <v>300000</v>
      </c>
      <c r="B34"/>
      <c r="C34"/>
      <c r="E34"/>
    </row>
    <row r="35" spans="1:5" x14ac:dyDescent="0.25">
      <c r="A35" s="1">
        <v>2206934</v>
      </c>
      <c r="B35"/>
      <c r="C35"/>
      <c r="E35"/>
    </row>
    <row r="36" spans="1:5" x14ac:dyDescent="0.25">
      <c r="A36" s="5">
        <f>SUM(A33:A35)</f>
        <v>4827950</v>
      </c>
      <c r="B36"/>
      <c r="C36"/>
      <c r="E3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10" workbookViewId="0">
      <selection activeCell="B8" sqref="B8"/>
    </sheetView>
  </sheetViews>
  <sheetFormatPr baseColWidth="10" defaultRowHeight="15" x14ac:dyDescent="0.25"/>
  <cols>
    <col min="1" max="1" width="20.85546875" customWidth="1"/>
    <col min="2" max="2" width="13.140625" style="1" bestFit="1" customWidth="1"/>
    <col min="3" max="3" width="16.5703125" customWidth="1"/>
    <col min="4" max="4" width="19.5703125" customWidth="1"/>
    <col min="5" max="7" width="13.140625" bestFit="1" customWidth="1"/>
    <col min="10" max="10" width="14.140625" bestFit="1" customWidth="1"/>
    <col min="11" max="13" width="13.140625" bestFit="1" customWidth="1"/>
  </cols>
  <sheetData>
    <row r="1" spans="1:12" x14ac:dyDescent="0.25">
      <c r="C1" s="20">
        <v>10959</v>
      </c>
    </row>
    <row r="2" spans="1:12" x14ac:dyDescent="0.25">
      <c r="A2" t="s">
        <v>41</v>
      </c>
      <c r="B2" s="12">
        <f>100000+50000+50000+50000</f>
        <v>250000</v>
      </c>
      <c r="C2" t="s">
        <v>65</v>
      </c>
      <c r="D2" s="2">
        <f>B2+B4+B8+B12+B15+B13+B14+100000</f>
        <v>2330000</v>
      </c>
      <c r="L2" s="1">
        <v>450000</v>
      </c>
    </row>
    <row r="3" spans="1:12" x14ac:dyDescent="0.25">
      <c r="A3" t="s">
        <v>40</v>
      </c>
      <c r="B3" s="18">
        <f>150000+100000+50000</f>
        <v>300000</v>
      </c>
      <c r="D3" s="2">
        <f>B3+B5+B6+B7+B9+B10+B11+B4+B17+B22+B23+B24+B26+B16</f>
        <v>2397000</v>
      </c>
      <c r="I3" t="s">
        <v>62</v>
      </c>
      <c r="J3" s="15">
        <v>6000000</v>
      </c>
      <c r="L3" s="1">
        <v>2651000</v>
      </c>
    </row>
    <row r="4" spans="1:12" x14ac:dyDescent="0.25">
      <c r="A4" t="s">
        <v>7</v>
      </c>
      <c r="B4" s="12">
        <v>110000</v>
      </c>
      <c r="C4" t="s">
        <v>65</v>
      </c>
      <c r="D4" s="2"/>
      <c r="I4" t="s">
        <v>48</v>
      </c>
      <c r="J4" s="14">
        <v>21000000</v>
      </c>
      <c r="L4" s="1">
        <v>1300000</v>
      </c>
    </row>
    <row r="5" spans="1:12" x14ac:dyDescent="0.25">
      <c r="A5" t="s">
        <v>8</v>
      </c>
      <c r="B5" s="18">
        <v>100000</v>
      </c>
      <c r="I5" t="s">
        <v>63</v>
      </c>
      <c r="J5" s="15">
        <v>-2000000</v>
      </c>
      <c r="L5" s="2">
        <f>SUM(L2:L4)</f>
        <v>4401000</v>
      </c>
    </row>
    <row r="6" spans="1:12" x14ac:dyDescent="0.25">
      <c r="A6" t="s">
        <v>26</v>
      </c>
      <c r="B6" s="18">
        <v>80000</v>
      </c>
    </row>
    <row r="7" spans="1:12" x14ac:dyDescent="0.25">
      <c r="A7" t="s">
        <v>9</v>
      </c>
      <c r="B7" s="18">
        <v>400000</v>
      </c>
      <c r="C7" t="s">
        <v>65</v>
      </c>
      <c r="I7" s="11" t="s">
        <v>52</v>
      </c>
    </row>
    <row r="8" spans="1:12" x14ac:dyDescent="0.25">
      <c r="A8" t="s">
        <v>33</v>
      </c>
      <c r="B8" s="12">
        <v>50000</v>
      </c>
      <c r="C8" t="s">
        <v>65</v>
      </c>
      <c r="I8" s="10" t="s">
        <v>53</v>
      </c>
      <c r="J8" s="2">
        <f>D2+B33</f>
        <v>3430000</v>
      </c>
    </row>
    <row r="9" spans="1:12" x14ac:dyDescent="0.25">
      <c r="A9" t="s">
        <v>34</v>
      </c>
      <c r="B9" s="18">
        <v>50000</v>
      </c>
    </row>
    <row r="10" spans="1:12" x14ac:dyDescent="0.25">
      <c r="A10" t="s">
        <v>35</v>
      </c>
      <c r="B10" s="18">
        <v>47000</v>
      </c>
      <c r="C10" s="9">
        <v>42758</v>
      </c>
    </row>
    <row r="11" spans="1:12" x14ac:dyDescent="0.25">
      <c r="A11" t="s">
        <v>38</v>
      </c>
      <c r="B11" s="18">
        <v>70000</v>
      </c>
      <c r="C11" s="9">
        <v>43465</v>
      </c>
    </row>
    <row r="12" spans="1:12" x14ac:dyDescent="0.25">
      <c r="A12" t="s">
        <v>42</v>
      </c>
      <c r="B12" s="12">
        <v>1500000</v>
      </c>
      <c r="C12" t="s">
        <v>65</v>
      </c>
      <c r="D12" s="1">
        <f>200000</f>
        <v>200000</v>
      </c>
    </row>
    <row r="13" spans="1:12" x14ac:dyDescent="0.25">
      <c r="A13" t="s">
        <v>54</v>
      </c>
      <c r="B13" s="12">
        <v>70000</v>
      </c>
      <c r="C13" t="s">
        <v>65</v>
      </c>
    </row>
    <row r="14" spans="1:12" x14ac:dyDescent="0.25">
      <c r="A14" t="s">
        <v>55</v>
      </c>
      <c r="B14" s="12">
        <v>50000</v>
      </c>
      <c r="C14" t="s">
        <v>65</v>
      </c>
      <c r="J14" t="s">
        <v>30</v>
      </c>
      <c r="K14" s="1">
        <v>3000000</v>
      </c>
    </row>
    <row r="15" spans="1:12" x14ac:dyDescent="0.25">
      <c r="A15" t="s">
        <v>60</v>
      </c>
      <c r="B15" s="12">
        <v>200000</v>
      </c>
      <c r="C15" t="s">
        <v>65</v>
      </c>
      <c r="J15" t="s">
        <v>43</v>
      </c>
      <c r="K15" s="16">
        <v>210350</v>
      </c>
    </row>
    <row r="16" spans="1:12" x14ac:dyDescent="0.25">
      <c r="A16" t="s">
        <v>61</v>
      </c>
      <c r="B16" s="18">
        <v>200000</v>
      </c>
      <c r="K16" s="16"/>
    </row>
    <row r="17" spans="1:12" x14ac:dyDescent="0.25">
      <c r="A17" t="s">
        <v>44</v>
      </c>
      <c r="B17" s="18">
        <v>50000</v>
      </c>
      <c r="C17" t="s">
        <v>45</v>
      </c>
      <c r="J17" t="s">
        <v>57</v>
      </c>
      <c r="K17" s="16">
        <f>190000*2</f>
        <v>380000</v>
      </c>
    </row>
    <row r="18" spans="1:12" x14ac:dyDescent="0.25">
      <c r="B18" s="1">
        <f>SUM(B2:B17)</f>
        <v>3527000</v>
      </c>
      <c r="E18" t="s">
        <v>48</v>
      </c>
      <c r="F18" t="s">
        <v>49</v>
      </c>
      <c r="G18" t="s">
        <v>58</v>
      </c>
      <c r="J18" t="s">
        <v>32</v>
      </c>
      <c r="K18" s="16">
        <v>128599</v>
      </c>
    </row>
    <row r="19" spans="1:12" x14ac:dyDescent="0.25">
      <c r="E19" s="13">
        <v>3000000</v>
      </c>
      <c r="F19" s="7">
        <v>3000000</v>
      </c>
      <c r="G19" s="1">
        <v>1300000</v>
      </c>
      <c r="J19" t="s">
        <v>7</v>
      </c>
      <c r="K19" s="16">
        <v>234000</v>
      </c>
      <c r="L19" s="2"/>
    </row>
    <row r="20" spans="1:12" x14ac:dyDescent="0.25">
      <c r="A20" t="s">
        <v>32</v>
      </c>
      <c r="B20" s="16">
        <v>240000</v>
      </c>
      <c r="C20" s="9">
        <v>42947</v>
      </c>
      <c r="D20" s="2">
        <f>7*B20</f>
        <v>1680000</v>
      </c>
      <c r="E20" s="2">
        <f>B20</f>
        <v>240000</v>
      </c>
      <c r="J20" t="s">
        <v>35</v>
      </c>
      <c r="K20" s="16">
        <v>47000</v>
      </c>
    </row>
    <row r="21" spans="1:12" x14ac:dyDescent="0.25">
      <c r="A21" t="s">
        <v>36</v>
      </c>
      <c r="B21" s="14">
        <v>1650000</v>
      </c>
      <c r="C21" s="9">
        <v>42947</v>
      </c>
      <c r="D21" s="2">
        <f>B21*7</f>
        <v>11550000</v>
      </c>
      <c r="E21" s="2">
        <f>B21</f>
        <v>1650000</v>
      </c>
      <c r="J21" t="s">
        <v>4</v>
      </c>
      <c r="K21" s="16">
        <v>1272000</v>
      </c>
      <c r="L21" s="16"/>
    </row>
    <row r="22" spans="1:12" x14ac:dyDescent="0.25">
      <c r="A22" t="s">
        <v>37</v>
      </c>
      <c r="B22" s="18">
        <v>210000</v>
      </c>
      <c r="C22" s="9">
        <v>42947</v>
      </c>
      <c r="D22" s="2">
        <f>6*B22</f>
        <v>1260000</v>
      </c>
      <c r="E22" s="2">
        <f>B22</f>
        <v>210000</v>
      </c>
      <c r="J22" t="s">
        <v>79</v>
      </c>
      <c r="K22" s="21">
        <v>690740</v>
      </c>
    </row>
    <row r="23" spans="1:12" x14ac:dyDescent="0.25">
      <c r="A23" t="s">
        <v>39</v>
      </c>
      <c r="B23" s="18">
        <v>400000</v>
      </c>
      <c r="C23" s="9">
        <v>43069</v>
      </c>
      <c r="D23" s="2">
        <f>B23*10</f>
        <v>4000000</v>
      </c>
      <c r="E23" s="2">
        <f>B23</f>
        <v>400000</v>
      </c>
      <c r="F23" s="1">
        <v>2000000</v>
      </c>
      <c r="J23" t="s">
        <v>80</v>
      </c>
      <c r="K23" s="21">
        <v>210350</v>
      </c>
    </row>
    <row r="24" spans="1:12" x14ac:dyDescent="0.25">
      <c r="A24" t="s">
        <v>2</v>
      </c>
      <c r="B24" s="18">
        <v>380000</v>
      </c>
      <c r="C24" s="9">
        <v>42885</v>
      </c>
      <c r="D24" s="2">
        <f>B24*15</f>
        <v>5700000</v>
      </c>
      <c r="J24" t="s">
        <v>78</v>
      </c>
      <c r="K24" s="21">
        <v>42000</v>
      </c>
      <c r="L24" t="s">
        <v>78</v>
      </c>
    </row>
    <row r="25" spans="1:12" x14ac:dyDescent="0.25">
      <c r="A25" t="s">
        <v>43</v>
      </c>
      <c r="B25" s="16">
        <v>210350</v>
      </c>
      <c r="C25" s="9">
        <v>42825</v>
      </c>
      <c r="D25" s="2">
        <f>B25*2</f>
        <v>420700</v>
      </c>
      <c r="E25" s="17"/>
    </row>
    <row r="26" spans="1:12" x14ac:dyDescent="0.25">
      <c r="A26" t="s">
        <v>64</v>
      </c>
      <c r="B26" s="18"/>
      <c r="C26" s="9">
        <v>42916</v>
      </c>
      <c r="D26" s="19">
        <f>2000000+1000000</f>
        <v>3000000</v>
      </c>
      <c r="E26" s="2">
        <f>B26</f>
        <v>0</v>
      </c>
      <c r="F26" s="2"/>
      <c r="K26" s="2">
        <f>K14-SUM(K15:K22)</f>
        <v>37311</v>
      </c>
    </row>
    <row r="27" spans="1:12" x14ac:dyDescent="0.25">
      <c r="A27" t="s">
        <v>46</v>
      </c>
      <c r="C27" s="9" t="s">
        <v>47</v>
      </c>
      <c r="D27" s="2">
        <f>B27*5</f>
        <v>0</v>
      </c>
      <c r="I27" s="9">
        <v>42773</v>
      </c>
      <c r="J27" s="1">
        <v>1963720</v>
      </c>
      <c r="K27" s="2"/>
    </row>
    <row r="28" spans="1:12" x14ac:dyDescent="0.25">
      <c r="A28" t="s">
        <v>56</v>
      </c>
      <c r="B28" s="12">
        <v>200000</v>
      </c>
      <c r="C28" s="9">
        <v>42766</v>
      </c>
      <c r="D28" s="2"/>
    </row>
    <row r="29" spans="1:12" x14ac:dyDescent="0.25">
      <c r="B29" s="1">
        <f>SUM(B20:B26)</f>
        <v>3090350</v>
      </c>
      <c r="D29" s="2">
        <f>SUM(D20:D27)</f>
        <v>27610700</v>
      </c>
      <c r="E29">
        <f>SUM(E20:E27)</f>
        <v>2500000</v>
      </c>
      <c r="J29" t="s">
        <v>58</v>
      </c>
      <c r="K29" s="1">
        <v>1300000</v>
      </c>
    </row>
    <row r="30" spans="1:12" x14ac:dyDescent="0.25">
      <c r="J30" t="s">
        <v>42</v>
      </c>
      <c r="K30" s="1">
        <v>1300000</v>
      </c>
    </row>
    <row r="31" spans="1:12" x14ac:dyDescent="0.25">
      <c r="B31" s="1">
        <f>SUM(B29+B18)</f>
        <v>6617350</v>
      </c>
    </row>
    <row r="33" spans="1:13" x14ac:dyDescent="0.25">
      <c r="A33" t="s">
        <v>51</v>
      </c>
      <c r="B33" s="12">
        <v>1100000</v>
      </c>
      <c r="C33" s="16">
        <f>190000*2</f>
        <v>380000</v>
      </c>
      <c r="J33" t="s">
        <v>59</v>
      </c>
      <c r="K33" s="1">
        <v>2651000</v>
      </c>
    </row>
    <row r="34" spans="1:13" x14ac:dyDescent="0.25">
      <c r="A34" t="s">
        <v>50</v>
      </c>
      <c r="B34" s="7">
        <v>150000</v>
      </c>
      <c r="J34" t="s">
        <v>66</v>
      </c>
      <c r="K34" s="1">
        <v>100000</v>
      </c>
      <c r="L34" t="s">
        <v>69</v>
      </c>
      <c r="M34" s="2">
        <f>K34+K35+K36+K37+K38+K39+K40</f>
        <v>1096000</v>
      </c>
    </row>
    <row r="35" spans="1:13" x14ac:dyDescent="0.25">
      <c r="J35" t="s">
        <v>67</v>
      </c>
      <c r="K35" s="1">
        <v>76000</v>
      </c>
    </row>
    <row r="36" spans="1:13" x14ac:dyDescent="0.25">
      <c r="J36" t="s">
        <v>68</v>
      </c>
      <c r="K36" s="1">
        <v>50000</v>
      </c>
    </row>
    <row r="37" spans="1:13" x14ac:dyDescent="0.25">
      <c r="J37" t="s">
        <v>9</v>
      </c>
      <c r="K37" s="1">
        <v>400000</v>
      </c>
    </row>
    <row r="38" spans="1:13" x14ac:dyDescent="0.25">
      <c r="A38" s="9">
        <v>42773</v>
      </c>
      <c r="B38" s="1">
        <f>J48+J27+200000</f>
        <v>3398513</v>
      </c>
      <c r="J38" t="s">
        <v>76</v>
      </c>
      <c r="K38" s="1">
        <v>200000</v>
      </c>
    </row>
    <row r="39" spans="1:13" x14ac:dyDescent="0.25">
      <c r="J39" t="s">
        <v>70</v>
      </c>
      <c r="K39" s="1">
        <v>170000</v>
      </c>
    </row>
    <row r="40" spans="1:13" x14ac:dyDescent="0.25">
      <c r="A40" s="2"/>
      <c r="C40" s="2"/>
      <c r="J40" t="s">
        <v>71</v>
      </c>
      <c r="K40" s="1">
        <v>100000</v>
      </c>
    </row>
    <row r="41" spans="1:13" x14ac:dyDescent="0.25">
      <c r="J41" t="s">
        <v>72</v>
      </c>
      <c r="K41" s="1">
        <v>60800</v>
      </c>
    </row>
    <row r="42" spans="1:13" x14ac:dyDescent="0.25">
      <c r="J42" t="s">
        <v>73</v>
      </c>
      <c r="K42" s="1">
        <v>21100</v>
      </c>
    </row>
    <row r="43" spans="1:13" x14ac:dyDescent="0.25">
      <c r="J43" t="s">
        <v>74</v>
      </c>
      <c r="K43" s="1">
        <v>26480</v>
      </c>
    </row>
    <row r="44" spans="1:13" x14ac:dyDescent="0.25">
      <c r="J44" t="s">
        <v>75</v>
      </c>
      <c r="K44" s="1">
        <v>27065</v>
      </c>
    </row>
    <row r="45" spans="1:13" x14ac:dyDescent="0.25">
      <c r="J45" t="s">
        <v>77</v>
      </c>
      <c r="K45" s="1">
        <v>150000</v>
      </c>
    </row>
    <row r="46" spans="1:13" x14ac:dyDescent="0.25">
      <c r="K46" s="2">
        <f>K33-SUM(K34:K45)</f>
        <v>1269555</v>
      </c>
      <c r="L46" s="2">
        <f>J48+K26</f>
        <v>1272104</v>
      </c>
    </row>
    <row r="47" spans="1:13" x14ac:dyDescent="0.25">
      <c r="K47" s="2">
        <f>K46-J48</f>
        <v>34762</v>
      </c>
    </row>
    <row r="48" spans="1:13" x14ac:dyDescent="0.25">
      <c r="I48" s="9">
        <v>42773</v>
      </c>
      <c r="J48" s="1">
        <v>1234793</v>
      </c>
    </row>
    <row r="49" spans="9:10" x14ac:dyDescent="0.25">
      <c r="I49" s="9">
        <v>42051</v>
      </c>
      <c r="J49" s="1">
        <v>570000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9" sqref="B9"/>
    </sheetView>
  </sheetViews>
  <sheetFormatPr baseColWidth="10" defaultRowHeight="15" x14ac:dyDescent="0.25"/>
  <cols>
    <col min="2" max="2" width="13.85546875" customWidth="1"/>
    <col min="4" max="4" width="19" customWidth="1"/>
    <col min="5" max="6" width="13.140625" bestFit="1" customWidth="1"/>
    <col min="9" max="10" width="13.140625" bestFit="1" customWidth="1"/>
    <col min="12" max="12" width="13.140625" bestFit="1" customWidth="1"/>
  </cols>
  <sheetData>
    <row r="1" spans="1:13" x14ac:dyDescent="0.25">
      <c r="A1" t="s">
        <v>7</v>
      </c>
      <c r="B1" s="1">
        <v>250000</v>
      </c>
      <c r="C1" s="20">
        <v>10959</v>
      </c>
      <c r="E1" s="29">
        <f>B1</f>
        <v>250000</v>
      </c>
    </row>
    <row r="2" spans="1:13" x14ac:dyDescent="0.25">
      <c r="A2" t="s">
        <v>40</v>
      </c>
      <c r="B2" s="18">
        <f>150000+100000+50000+70000</f>
        <v>370000</v>
      </c>
      <c r="C2" t="s">
        <v>88</v>
      </c>
      <c r="D2" s="1">
        <f>SUM(B2:B13)+B1</f>
        <v>2930807</v>
      </c>
      <c r="E2" s="1"/>
      <c r="F2" s="1">
        <v>1030000</v>
      </c>
      <c r="H2" t="s">
        <v>81</v>
      </c>
      <c r="I2" s="1">
        <v>2500000</v>
      </c>
      <c r="J2" t="s">
        <v>82</v>
      </c>
    </row>
    <row r="3" spans="1:13" x14ac:dyDescent="0.25">
      <c r="A3" t="s">
        <v>8</v>
      </c>
      <c r="B3" s="18">
        <v>93457</v>
      </c>
      <c r="C3" t="s">
        <v>88</v>
      </c>
      <c r="D3" s="1"/>
      <c r="F3" s="1"/>
      <c r="G3" s="26">
        <v>42783</v>
      </c>
      <c r="H3" s="24" t="s">
        <v>83</v>
      </c>
      <c r="I3" s="24"/>
      <c r="J3" s="25">
        <v>400000</v>
      </c>
    </row>
    <row r="4" spans="1:13" ht="17.25" customHeight="1" x14ac:dyDescent="0.25">
      <c r="A4" t="s">
        <v>26</v>
      </c>
      <c r="B4" s="18">
        <v>80000</v>
      </c>
      <c r="C4" s="30"/>
      <c r="D4" s="1"/>
      <c r="E4" s="1"/>
      <c r="F4" s="1"/>
      <c r="H4" s="24" t="s">
        <v>85</v>
      </c>
      <c r="I4" s="24"/>
      <c r="J4" s="25">
        <v>500000</v>
      </c>
    </row>
    <row r="5" spans="1:13" x14ac:dyDescent="0.25">
      <c r="A5" t="s">
        <v>9</v>
      </c>
      <c r="B5" s="18">
        <v>450000</v>
      </c>
      <c r="C5" t="s">
        <v>65</v>
      </c>
      <c r="D5" s="1"/>
      <c r="E5" s="28">
        <v>450000</v>
      </c>
      <c r="F5" s="1"/>
      <c r="H5" t="s">
        <v>84</v>
      </c>
      <c r="J5" s="1">
        <v>2300000</v>
      </c>
    </row>
    <row r="6" spans="1:13" x14ac:dyDescent="0.25">
      <c r="A6" t="s">
        <v>34</v>
      </c>
      <c r="B6" s="18">
        <v>50000</v>
      </c>
      <c r="C6" s="30"/>
      <c r="D6" s="1"/>
      <c r="E6" s="28">
        <f>B6</f>
        <v>50000</v>
      </c>
      <c r="H6" t="s">
        <v>86</v>
      </c>
      <c r="J6" s="1">
        <v>570000</v>
      </c>
    </row>
    <row r="7" spans="1:13" x14ac:dyDescent="0.25">
      <c r="A7" t="s">
        <v>35</v>
      </c>
      <c r="B7" s="18">
        <v>47000</v>
      </c>
      <c r="C7" s="9" t="s">
        <v>88</v>
      </c>
      <c r="F7" s="1"/>
      <c r="G7" s="26">
        <v>42786</v>
      </c>
      <c r="J7" s="2">
        <f>SUM(J3:J6)</f>
        <v>3770000</v>
      </c>
    </row>
    <row r="8" spans="1:13" x14ac:dyDescent="0.25">
      <c r="A8" t="s">
        <v>38</v>
      </c>
      <c r="B8" s="18">
        <v>70000</v>
      </c>
      <c r="C8" s="9">
        <v>43167</v>
      </c>
      <c r="D8" s="1"/>
      <c r="E8" s="28">
        <f>B8</f>
        <v>70000</v>
      </c>
    </row>
    <row r="9" spans="1:13" x14ac:dyDescent="0.25">
      <c r="A9" t="s">
        <v>61</v>
      </c>
      <c r="B9" s="18">
        <v>200000</v>
      </c>
      <c r="C9" t="s">
        <v>88</v>
      </c>
      <c r="D9" s="1"/>
      <c r="E9" s="27">
        <f>200000-200000</f>
        <v>0</v>
      </c>
      <c r="F9" s="1" t="s">
        <v>95</v>
      </c>
    </row>
    <row r="10" spans="1:13" x14ac:dyDescent="0.25">
      <c r="A10" s="22" t="s">
        <v>37</v>
      </c>
      <c r="B10" s="23">
        <v>200000</v>
      </c>
      <c r="C10" s="9">
        <v>42796</v>
      </c>
      <c r="D10" s="1">
        <v>200000</v>
      </c>
      <c r="E10" s="1"/>
      <c r="F10" s="1"/>
      <c r="J10" s="25">
        <v>900000</v>
      </c>
      <c r="L10" s="1"/>
    </row>
    <row r="11" spans="1:13" x14ac:dyDescent="0.25">
      <c r="A11" s="22" t="s">
        <v>39</v>
      </c>
      <c r="B11" s="23">
        <v>530000</v>
      </c>
      <c r="C11" s="9">
        <v>42796</v>
      </c>
      <c r="D11" s="1">
        <v>540000</v>
      </c>
      <c r="E11" s="1"/>
      <c r="F11" s="1"/>
      <c r="I11" t="s">
        <v>2</v>
      </c>
      <c r="J11">
        <v>380000</v>
      </c>
      <c r="L11" s="1"/>
    </row>
    <row r="12" spans="1:13" x14ac:dyDescent="0.25">
      <c r="A12" s="22" t="s">
        <v>2</v>
      </c>
      <c r="B12" s="23">
        <v>380000</v>
      </c>
      <c r="C12" t="s">
        <v>88</v>
      </c>
      <c r="D12" s="1"/>
      <c r="E12" s="1"/>
      <c r="F12" s="1"/>
      <c r="K12" t="s">
        <v>91</v>
      </c>
      <c r="L12" s="1">
        <v>100000</v>
      </c>
    </row>
    <row r="13" spans="1:13" x14ac:dyDescent="0.25">
      <c r="A13" s="22" t="s">
        <v>43</v>
      </c>
      <c r="B13" s="23">
        <v>210350</v>
      </c>
      <c r="C13" s="9">
        <v>42794</v>
      </c>
      <c r="E13" s="1"/>
      <c r="F13" s="1">
        <v>210350</v>
      </c>
      <c r="K13" t="s">
        <v>92</v>
      </c>
      <c r="L13" s="1">
        <v>930000</v>
      </c>
      <c r="M13" s="1">
        <v>770000</v>
      </c>
    </row>
    <row r="14" spans="1:13" x14ac:dyDescent="0.25">
      <c r="D14" s="1">
        <f>SUM(D3:D13)</f>
        <v>740000</v>
      </c>
      <c r="E14" s="1"/>
      <c r="F14" s="1"/>
      <c r="K14" t="s">
        <v>93</v>
      </c>
      <c r="L14" s="1">
        <f>470000-200000-270000</f>
        <v>0</v>
      </c>
    </row>
    <row r="15" spans="1:13" x14ac:dyDescent="0.25">
      <c r="D15" s="1">
        <v>470000</v>
      </c>
      <c r="E15" s="1"/>
      <c r="F15" s="1"/>
      <c r="K15" t="s">
        <v>94</v>
      </c>
      <c r="L15" s="1">
        <f>1480206-48000-93457-280000</f>
        <v>1058749</v>
      </c>
      <c r="M15" s="1">
        <v>580350</v>
      </c>
    </row>
    <row r="16" spans="1:13" x14ac:dyDescent="0.25">
      <c r="A16" s="22" t="s">
        <v>89</v>
      </c>
      <c r="B16" s="23">
        <v>25000</v>
      </c>
      <c r="D16" s="1">
        <f>D14-D15</f>
        <v>270000</v>
      </c>
      <c r="E16" s="1">
        <f>SUM(E1:E15)</f>
        <v>820000</v>
      </c>
      <c r="F16" s="1"/>
      <c r="J16" s="2">
        <f>J10-SUM(J11:J15)</f>
        <v>520000</v>
      </c>
      <c r="L16" s="1">
        <f>SUM(L12:L15)-SUM(M12:M15)</f>
        <v>738399</v>
      </c>
    </row>
    <row r="17" spans="1:12" x14ac:dyDescent="0.25">
      <c r="A17" s="22" t="s">
        <v>90</v>
      </c>
      <c r="B17" s="23">
        <v>42000</v>
      </c>
      <c r="D17" s="1">
        <f>D16*2</f>
        <v>540000</v>
      </c>
      <c r="E17" s="1"/>
      <c r="F17" s="1"/>
      <c r="L17" s="1"/>
    </row>
    <row r="18" spans="1:12" x14ac:dyDescent="0.25">
      <c r="A18" s="22" t="s">
        <v>99</v>
      </c>
      <c r="B18" s="23">
        <v>30000</v>
      </c>
      <c r="K18" t="s">
        <v>98</v>
      </c>
      <c r="L18" s="1">
        <v>-30000</v>
      </c>
    </row>
    <row r="19" spans="1:12" x14ac:dyDescent="0.25">
      <c r="D19" t="s">
        <v>33</v>
      </c>
      <c r="E19">
        <v>50000</v>
      </c>
      <c r="L19" s="1"/>
    </row>
    <row r="20" spans="1:12" x14ac:dyDescent="0.25">
      <c r="D20" t="s">
        <v>96</v>
      </c>
      <c r="E20">
        <f>70000+50000</f>
        <v>120000</v>
      </c>
    </row>
    <row r="21" spans="1:12" x14ac:dyDescent="0.25">
      <c r="D21" t="s">
        <v>97</v>
      </c>
      <c r="E21">
        <v>100000</v>
      </c>
    </row>
    <row r="22" spans="1:12" x14ac:dyDescent="0.25">
      <c r="E22" s="2">
        <f>E16-E19-E20-E21</f>
        <v>550000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H21" sqref="H21"/>
    </sheetView>
  </sheetViews>
  <sheetFormatPr baseColWidth="10" defaultRowHeight="15" x14ac:dyDescent="0.25"/>
  <cols>
    <col min="1" max="1" width="17.28515625" customWidth="1"/>
    <col min="2" max="2" width="15.5703125" customWidth="1"/>
    <col min="4" max="4" width="13.140625" bestFit="1" customWidth="1"/>
    <col min="6" max="6" width="21" customWidth="1"/>
    <col min="7" max="7" width="13.140625" bestFit="1" customWidth="1"/>
  </cols>
  <sheetData>
    <row r="1" spans="1:9" x14ac:dyDescent="0.25">
      <c r="B1" s="1"/>
    </row>
    <row r="2" spans="1:9" x14ac:dyDescent="0.25">
      <c r="A2" s="22" t="s">
        <v>41</v>
      </c>
      <c r="B2" s="23">
        <f>100000+50000+50000+50000</f>
        <v>250000</v>
      </c>
      <c r="C2" s="34" t="s">
        <v>110</v>
      </c>
      <c r="D2" s="34"/>
      <c r="E2" s="34"/>
      <c r="F2" s="34" t="s">
        <v>109</v>
      </c>
      <c r="G2" s="34"/>
      <c r="H2" s="34"/>
      <c r="I2" s="34"/>
    </row>
    <row r="3" spans="1:9" x14ac:dyDescent="0.25">
      <c r="A3" s="22" t="s">
        <v>7</v>
      </c>
      <c r="B3" s="23">
        <v>110000</v>
      </c>
      <c r="C3" t="s">
        <v>111</v>
      </c>
      <c r="D3" s="1">
        <v>750000</v>
      </c>
      <c r="G3" s="1"/>
    </row>
    <row r="4" spans="1:9" x14ac:dyDescent="0.25">
      <c r="A4" s="22" t="s">
        <v>33</v>
      </c>
      <c r="B4" s="23">
        <v>50000</v>
      </c>
      <c r="C4" t="s">
        <v>112</v>
      </c>
      <c r="D4" s="1">
        <f>2247000</f>
        <v>2247000</v>
      </c>
      <c r="F4" t="s">
        <v>100</v>
      </c>
      <c r="G4" s="1">
        <v>250000</v>
      </c>
      <c r="H4" s="9">
        <v>42799</v>
      </c>
      <c r="I4" t="s">
        <v>101</v>
      </c>
    </row>
    <row r="5" spans="1:9" x14ac:dyDescent="0.25">
      <c r="A5" s="22" t="s">
        <v>42</v>
      </c>
      <c r="B5" s="23">
        <v>1500000</v>
      </c>
      <c r="C5" t="s">
        <v>111</v>
      </c>
      <c r="D5" s="1">
        <f>D14-D4</f>
        <v>746000</v>
      </c>
      <c r="F5" t="s">
        <v>7</v>
      </c>
      <c r="G5" s="1">
        <v>360000</v>
      </c>
      <c r="H5" s="9">
        <v>42797</v>
      </c>
      <c r="I5" t="s">
        <v>101</v>
      </c>
    </row>
    <row r="6" spans="1:9" x14ac:dyDescent="0.25">
      <c r="A6" s="22" t="s">
        <v>54</v>
      </c>
      <c r="B6" s="23">
        <v>70000</v>
      </c>
      <c r="D6" s="1"/>
      <c r="F6" t="s">
        <v>42</v>
      </c>
      <c r="G6" s="1">
        <v>1500000</v>
      </c>
      <c r="H6" s="26">
        <v>42794</v>
      </c>
      <c r="I6" t="s">
        <v>101</v>
      </c>
    </row>
    <row r="7" spans="1:9" x14ac:dyDescent="0.25">
      <c r="A7" s="22" t="s">
        <v>55</v>
      </c>
      <c r="B7" s="23">
        <v>50000</v>
      </c>
      <c r="D7" s="1"/>
      <c r="F7" t="s">
        <v>54</v>
      </c>
      <c r="G7" s="1">
        <v>80000</v>
      </c>
      <c r="H7" s="9">
        <v>42797</v>
      </c>
      <c r="I7" t="s">
        <v>101</v>
      </c>
    </row>
    <row r="8" spans="1:9" x14ac:dyDescent="0.25">
      <c r="A8" s="22" t="s">
        <v>61</v>
      </c>
      <c r="B8" s="23">
        <v>200000</v>
      </c>
      <c r="D8" s="1"/>
      <c r="F8" t="s">
        <v>55</v>
      </c>
      <c r="G8" s="1">
        <v>50000</v>
      </c>
      <c r="H8" s="9">
        <v>42797</v>
      </c>
      <c r="I8" t="s">
        <v>101</v>
      </c>
    </row>
    <row r="9" spans="1:9" x14ac:dyDescent="0.25">
      <c r="A9" s="22" t="s">
        <v>87</v>
      </c>
      <c r="B9" s="23">
        <v>50000</v>
      </c>
      <c r="D9" s="1"/>
      <c r="F9" t="s">
        <v>102</v>
      </c>
      <c r="G9" s="1">
        <v>20000</v>
      </c>
      <c r="H9" s="9">
        <v>42794</v>
      </c>
      <c r="I9" t="s">
        <v>101</v>
      </c>
    </row>
    <row r="10" spans="1:9" x14ac:dyDescent="0.25">
      <c r="B10" s="2">
        <f>SUM(B2:B9)</f>
        <v>2280000</v>
      </c>
      <c r="D10" s="1"/>
      <c r="F10" t="s">
        <v>26</v>
      </c>
      <c r="G10" s="1">
        <v>150000</v>
      </c>
      <c r="H10" s="9">
        <v>42799</v>
      </c>
      <c r="I10" t="s">
        <v>101</v>
      </c>
    </row>
    <row r="11" spans="1:9" x14ac:dyDescent="0.25">
      <c r="D11" s="1"/>
      <c r="F11" t="s">
        <v>34</v>
      </c>
      <c r="G11" s="1">
        <v>50000</v>
      </c>
      <c r="H11" s="9">
        <v>42799</v>
      </c>
      <c r="I11" t="s">
        <v>101</v>
      </c>
    </row>
    <row r="12" spans="1:9" x14ac:dyDescent="0.25">
      <c r="D12" s="1"/>
      <c r="F12" t="s">
        <v>38</v>
      </c>
      <c r="G12" s="1">
        <v>70000</v>
      </c>
      <c r="H12" s="9">
        <v>42802</v>
      </c>
      <c r="I12" t="s">
        <v>101</v>
      </c>
    </row>
    <row r="13" spans="1:9" x14ac:dyDescent="0.25">
      <c r="C13" t="s">
        <v>113</v>
      </c>
      <c r="D13" s="1">
        <v>750000</v>
      </c>
      <c r="F13" t="s">
        <v>43</v>
      </c>
      <c r="G13" s="1">
        <v>210350</v>
      </c>
      <c r="H13" s="9">
        <v>42794</v>
      </c>
      <c r="I13" t="s">
        <v>101</v>
      </c>
    </row>
    <row r="14" spans="1:9" x14ac:dyDescent="0.25">
      <c r="C14" t="s">
        <v>114</v>
      </c>
      <c r="D14" s="1">
        <v>2993000</v>
      </c>
      <c r="F14" t="s">
        <v>103</v>
      </c>
      <c r="G14" s="1">
        <v>100000</v>
      </c>
      <c r="I14" t="s">
        <v>101</v>
      </c>
    </row>
    <row r="15" spans="1:9" x14ac:dyDescent="0.25">
      <c r="F15" t="s">
        <v>104</v>
      </c>
      <c r="G15" s="1"/>
      <c r="I15" t="s">
        <v>101</v>
      </c>
    </row>
    <row r="16" spans="1:9" x14ac:dyDescent="0.25">
      <c r="D16" s="1"/>
      <c r="F16" t="s">
        <v>105</v>
      </c>
      <c r="G16" s="1">
        <v>368000</v>
      </c>
      <c r="I16" t="s">
        <v>101</v>
      </c>
    </row>
    <row r="17" spans="3:9" x14ac:dyDescent="0.25">
      <c r="D17" s="1"/>
      <c r="F17" t="s">
        <v>106</v>
      </c>
      <c r="G17" s="1">
        <v>15000</v>
      </c>
      <c r="I17" t="s">
        <v>101</v>
      </c>
    </row>
    <row r="18" spans="3:9" x14ac:dyDescent="0.25">
      <c r="C18" t="s">
        <v>115</v>
      </c>
      <c r="D18" s="1">
        <v>3743000</v>
      </c>
      <c r="F18" t="s">
        <v>107</v>
      </c>
      <c r="G18" s="1">
        <v>40000</v>
      </c>
      <c r="H18" s="9">
        <v>42794</v>
      </c>
      <c r="I18" t="s">
        <v>101</v>
      </c>
    </row>
    <row r="19" spans="3:9" x14ac:dyDescent="0.25">
      <c r="F19" t="s">
        <v>108</v>
      </c>
      <c r="G19" s="1">
        <v>250000</v>
      </c>
      <c r="I19" t="s">
        <v>101</v>
      </c>
    </row>
    <row r="20" spans="3:9" x14ac:dyDescent="0.25">
      <c r="F20" t="s">
        <v>116</v>
      </c>
      <c r="G20" s="1">
        <v>35000</v>
      </c>
      <c r="H20" s="9">
        <v>42795</v>
      </c>
    </row>
    <row r="21" spans="3:9" x14ac:dyDescent="0.25">
      <c r="F21" t="s">
        <v>117</v>
      </c>
      <c r="G21" s="1">
        <v>70000</v>
      </c>
      <c r="H21" s="9"/>
    </row>
    <row r="22" spans="3:9" x14ac:dyDescent="0.25">
      <c r="G22" s="1">
        <f>SUM(G4:G21)</f>
        <v>3618350</v>
      </c>
    </row>
    <row r="23" spans="3:9" x14ac:dyDescent="0.25">
      <c r="G23" s="1"/>
    </row>
    <row r="24" spans="3:9" x14ac:dyDescent="0.25">
      <c r="G24" s="1"/>
    </row>
    <row r="25" spans="3:9" x14ac:dyDescent="0.25">
      <c r="G25" s="1"/>
    </row>
    <row r="26" spans="3:9" x14ac:dyDescent="0.25">
      <c r="G26" s="1"/>
    </row>
    <row r="27" spans="3:9" x14ac:dyDescent="0.25">
      <c r="G27" s="1"/>
    </row>
    <row r="28" spans="3:9" x14ac:dyDescent="0.25">
      <c r="G28" s="1"/>
    </row>
    <row r="29" spans="3:9" x14ac:dyDescent="0.25">
      <c r="G29" s="1"/>
    </row>
    <row r="30" spans="3:9" x14ac:dyDescent="0.25">
      <c r="G30" s="1"/>
    </row>
    <row r="31" spans="3:9" x14ac:dyDescent="0.25">
      <c r="G31" s="1"/>
    </row>
    <row r="32" spans="3:9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1"/>
    </row>
    <row r="45" spans="7:7" x14ac:dyDescent="0.25">
      <c r="G45" s="1"/>
    </row>
    <row r="46" spans="7:7" x14ac:dyDescent="0.25">
      <c r="G46" s="1"/>
    </row>
    <row r="47" spans="7:7" x14ac:dyDescent="0.25">
      <c r="G47" s="1"/>
    </row>
    <row r="48" spans="7:7" x14ac:dyDescent="0.25">
      <c r="G48" s="1"/>
    </row>
    <row r="49" spans="7:7" x14ac:dyDescent="0.25">
      <c r="G49" s="1"/>
    </row>
  </sheetData>
  <mergeCells count="2">
    <mergeCell ref="F2:I2"/>
    <mergeCell ref="C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B18"/>
    </sheetView>
  </sheetViews>
  <sheetFormatPr baseColWidth="10" defaultRowHeight="15" x14ac:dyDescent="0.25"/>
  <sheetData>
    <row r="1" spans="1:3" x14ac:dyDescent="0.25">
      <c r="A1" t="s">
        <v>7</v>
      </c>
      <c r="B1" s="1">
        <v>250000</v>
      </c>
    </row>
    <row r="2" spans="1:3" x14ac:dyDescent="0.25">
      <c r="A2" t="s">
        <v>40</v>
      </c>
      <c r="B2" s="18">
        <f>150000+100000+50000+70000</f>
        <v>370000</v>
      </c>
    </row>
    <row r="3" spans="1:3" x14ac:dyDescent="0.25">
      <c r="A3" t="s">
        <v>8</v>
      </c>
      <c r="B3" s="18">
        <v>93457</v>
      </c>
    </row>
    <row r="4" spans="1:3" x14ac:dyDescent="0.25">
      <c r="A4" t="s">
        <v>26</v>
      </c>
      <c r="B4" s="18">
        <v>80000</v>
      </c>
    </row>
    <row r="5" spans="1:3" x14ac:dyDescent="0.25">
      <c r="A5" t="s">
        <v>9</v>
      </c>
      <c r="B5" s="18">
        <v>450000</v>
      </c>
    </row>
    <row r="6" spans="1:3" x14ac:dyDescent="0.25">
      <c r="A6" t="s">
        <v>34</v>
      </c>
      <c r="B6" s="18">
        <v>50000</v>
      </c>
    </row>
    <row r="7" spans="1:3" x14ac:dyDescent="0.25">
      <c r="A7" t="s">
        <v>35</v>
      </c>
      <c r="B7" s="18">
        <v>47000</v>
      </c>
    </row>
    <row r="8" spans="1:3" x14ac:dyDescent="0.25">
      <c r="A8" t="s">
        <v>38</v>
      </c>
      <c r="B8" s="18">
        <v>70000</v>
      </c>
    </row>
    <row r="9" spans="1:3" x14ac:dyDescent="0.25">
      <c r="A9" t="s">
        <v>61</v>
      </c>
      <c r="B9" s="18">
        <v>200000</v>
      </c>
    </row>
    <row r="10" spans="1:3" x14ac:dyDescent="0.25">
      <c r="A10" s="22" t="s">
        <v>37</v>
      </c>
      <c r="B10" s="23">
        <v>200000</v>
      </c>
    </row>
    <row r="11" spans="1:3" x14ac:dyDescent="0.25">
      <c r="A11" s="22" t="s">
        <v>39</v>
      </c>
      <c r="B11" s="23">
        <v>530000</v>
      </c>
    </row>
    <row r="12" spans="1:3" x14ac:dyDescent="0.25">
      <c r="A12" s="22" t="s">
        <v>2</v>
      </c>
      <c r="B12" s="23">
        <v>380000</v>
      </c>
      <c r="C12" s="9">
        <v>42814</v>
      </c>
    </row>
    <row r="13" spans="1:3" x14ac:dyDescent="0.25">
      <c r="A13" s="22"/>
      <c r="B13" s="23"/>
    </row>
    <row r="16" spans="1:3" x14ac:dyDescent="0.25">
      <c r="A16" s="22" t="s">
        <v>89</v>
      </c>
      <c r="B16" s="23">
        <v>25000</v>
      </c>
    </row>
    <row r="17" spans="1:2" x14ac:dyDescent="0.25">
      <c r="A17" s="22" t="s">
        <v>90</v>
      </c>
      <c r="B17" s="23">
        <v>42000</v>
      </c>
    </row>
    <row r="18" spans="1:2" x14ac:dyDescent="0.25">
      <c r="A18" s="22" t="s">
        <v>99</v>
      </c>
      <c r="B18" s="23">
        <v>30000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I15" sqref="I15"/>
    </sheetView>
  </sheetViews>
  <sheetFormatPr baseColWidth="10" defaultRowHeight="15" x14ac:dyDescent="0.25"/>
  <cols>
    <col min="2" max="2" width="13.140625" bestFit="1" customWidth="1"/>
    <col min="4" max="4" width="13.140625" bestFit="1" customWidth="1"/>
    <col min="8" max="8" width="13.140625" style="1" bestFit="1" customWidth="1"/>
    <col min="11" max="11" width="15.42578125" customWidth="1"/>
    <col min="12" max="13" width="14.5703125" bestFit="1" customWidth="1"/>
    <col min="14" max="14" width="13.140625" bestFit="1" customWidth="1"/>
    <col min="15" max="15" width="16.28515625" customWidth="1"/>
  </cols>
  <sheetData>
    <row r="1" spans="1:15" x14ac:dyDescent="0.25">
      <c r="A1" t="s">
        <v>7</v>
      </c>
      <c r="B1" s="1">
        <v>357000</v>
      </c>
      <c r="G1" t="s">
        <v>118</v>
      </c>
      <c r="I1" t="s">
        <v>128</v>
      </c>
      <c r="M1" s="20">
        <v>42156</v>
      </c>
    </row>
    <row r="2" spans="1:15" x14ac:dyDescent="0.25">
      <c r="A2" t="s">
        <v>40</v>
      </c>
      <c r="B2" s="18">
        <f>170000+100000+100000+30000</f>
        <v>400000</v>
      </c>
      <c r="G2" t="s">
        <v>121</v>
      </c>
      <c r="H2" s="1">
        <v>1500000</v>
      </c>
      <c r="I2">
        <v>5</v>
      </c>
      <c r="M2" s="1">
        <v>2300000</v>
      </c>
    </row>
    <row r="3" spans="1:15" x14ac:dyDescent="0.25">
      <c r="A3" t="s">
        <v>8</v>
      </c>
      <c r="B3" s="18">
        <v>93457</v>
      </c>
      <c r="G3" t="s">
        <v>122</v>
      </c>
      <c r="H3" s="1">
        <v>50000</v>
      </c>
      <c r="M3" s="1">
        <v>2500000</v>
      </c>
    </row>
    <row r="4" spans="1:15" x14ac:dyDescent="0.25">
      <c r="A4" t="s">
        <v>26</v>
      </c>
      <c r="B4" s="18">
        <v>100000</v>
      </c>
      <c r="G4" t="s">
        <v>123</v>
      </c>
      <c r="H4" s="1">
        <v>75000</v>
      </c>
      <c r="M4" s="1">
        <v>500000</v>
      </c>
    </row>
    <row r="5" spans="1:15" x14ac:dyDescent="0.25">
      <c r="A5" t="s">
        <v>142</v>
      </c>
      <c r="B5" s="18">
        <v>200000</v>
      </c>
      <c r="C5">
        <f>16*5000</f>
        <v>80000</v>
      </c>
      <c r="D5">
        <f>100000</f>
        <v>100000</v>
      </c>
      <c r="G5" t="s">
        <v>124</v>
      </c>
      <c r="H5" s="1">
        <v>50000</v>
      </c>
      <c r="M5" s="1">
        <v>550000</v>
      </c>
    </row>
    <row r="6" spans="1:15" x14ac:dyDescent="0.25">
      <c r="A6" t="s">
        <v>34</v>
      </c>
      <c r="B6" s="18">
        <v>50000</v>
      </c>
      <c r="G6" t="s">
        <v>125</v>
      </c>
      <c r="H6" s="1">
        <v>200000</v>
      </c>
      <c r="I6">
        <v>15</v>
      </c>
      <c r="M6" s="2">
        <f>SUM(M2:M5)</f>
        <v>5850000</v>
      </c>
    </row>
    <row r="7" spans="1:15" x14ac:dyDescent="0.25">
      <c r="A7" t="s">
        <v>35</v>
      </c>
      <c r="B7" s="18">
        <v>47000</v>
      </c>
      <c r="G7" t="s">
        <v>139</v>
      </c>
      <c r="H7" s="1">
        <v>80000</v>
      </c>
      <c r="M7" s="23">
        <v>3847457</v>
      </c>
      <c r="N7" s="2"/>
    </row>
    <row r="8" spans="1:15" x14ac:dyDescent="0.25">
      <c r="A8" t="s">
        <v>38</v>
      </c>
      <c r="B8" s="18">
        <v>70000</v>
      </c>
      <c r="G8" t="s">
        <v>126</v>
      </c>
      <c r="H8" s="1">
        <v>47700</v>
      </c>
      <c r="I8">
        <v>15</v>
      </c>
    </row>
    <row r="9" spans="1:15" x14ac:dyDescent="0.25">
      <c r="A9" t="s">
        <v>61</v>
      </c>
      <c r="B9" s="18">
        <v>200000</v>
      </c>
      <c r="G9" t="s">
        <v>138</v>
      </c>
      <c r="H9" s="1">
        <v>200000</v>
      </c>
    </row>
    <row r="10" spans="1:15" x14ac:dyDescent="0.25">
      <c r="A10" s="22" t="s">
        <v>37</v>
      </c>
      <c r="B10" s="23">
        <v>1270000</v>
      </c>
      <c r="D10" s="1">
        <v>2250000</v>
      </c>
      <c r="E10" t="s">
        <v>144</v>
      </c>
      <c r="G10" t="s">
        <v>129</v>
      </c>
      <c r="H10" s="1">
        <v>110000</v>
      </c>
    </row>
    <row r="11" spans="1:15" x14ac:dyDescent="0.25">
      <c r="A11" s="22" t="s">
        <v>39</v>
      </c>
      <c r="B11" s="23">
        <v>530000</v>
      </c>
      <c r="D11" s="1">
        <v>2500000</v>
      </c>
      <c r="E11" t="s">
        <v>15</v>
      </c>
      <c r="G11" t="s">
        <v>130</v>
      </c>
      <c r="H11" s="1">
        <f>170000+100000+30000+100000</f>
        <v>400000</v>
      </c>
    </row>
    <row r="12" spans="1:15" x14ac:dyDescent="0.25">
      <c r="A12" s="22" t="s">
        <v>2</v>
      </c>
      <c r="B12" s="23">
        <v>380000</v>
      </c>
      <c r="D12" s="31">
        <v>500000</v>
      </c>
      <c r="E12" t="s">
        <v>12</v>
      </c>
      <c r="G12" t="s">
        <v>131</v>
      </c>
      <c r="H12" s="1">
        <f>70000+100000+100000</f>
        <v>270000</v>
      </c>
    </row>
    <row r="13" spans="1:15" x14ac:dyDescent="0.25">
      <c r="A13" s="22" t="s">
        <v>11</v>
      </c>
      <c r="B13" s="23">
        <v>100000</v>
      </c>
      <c r="G13" t="s">
        <v>134</v>
      </c>
      <c r="H13" s="1">
        <v>370000</v>
      </c>
    </row>
    <row r="14" spans="1:15" x14ac:dyDescent="0.25">
      <c r="A14" s="22" t="s">
        <v>143</v>
      </c>
      <c r="B14" s="23">
        <v>50000</v>
      </c>
      <c r="G14" t="s">
        <v>127</v>
      </c>
      <c r="H14" s="1">
        <v>70000</v>
      </c>
    </row>
    <row r="15" spans="1:15" x14ac:dyDescent="0.25">
      <c r="A15" s="22"/>
      <c r="B15" s="23">
        <f>SUM(B1:B14)</f>
        <v>3847457</v>
      </c>
      <c r="H15" s="1">
        <v>260000</v>
      </c>
      <c r="K15" t="s">
        <v>132</v>
      </c>
    </row>
    <row r="16" spans="1:15" x14ac:dyDescent="0.25">
      <c r="H16" s="1">
        <f>SUM(H2:H15)</f>
        <v>3682700</v>
      </c>
      <c r="J16">
        <v>1</v>
      </c>
      <c r="K16" s="31"/>
      <c r="N16" s="2"/>
      <c r="O16" t="s">
        <v>145</v>
      </c>
    </row>
    <row r="17" spans="1:15" x14ac:dyDescent="0.25">
      <c r="G17" t="s">
        <v>119</v>
      </c>
      <c r="K17" s="31"/>
      <c r="N17" s="1">
        <v>0</v>
      </c>
      <c r="O17" t="s">
        <v>146</v>
      </c>
    </row>
    <row r="18" spans="1:15" x14ac:dyDescent="0.25">
      <c r="A18" s="22" t="s">
        <v>89</v>
      </c>
      <c r="B18" s="23">
        <v>25000</v>
      </c>
      <c r="N18" s="1"/>
      <c r="O18" s="1"/>
    </row>
    <row r="19" spans="1:15" x14ac:dyDescent="0.25">
      <c r="A19" s="22" t="s">
        <v>90</v>
      </c>
      <c r="B19" s="23">
        <v>42000</v>
      </c>
      <c r="J19" t="s">
        <v>37</v>
      </c>
      <c r="K19" s="31">
        <v>1262000</v>
      </c>
      <c r="N19" s="1">
        <v>1262000</v>
      </c>
      <c r="O19" t="s">
        <v>37</v>
      </c>
    </row>
    <row r="20" spans="1:15" x14ac:dyDescent="0.25">
      <c r="A20" s="22" t="s">
        <v>99</v>
      </c>
      <c r="B20" s="23">
        <v>30000</v>
      </c>
      <c r="G20" t="s">
        <v>133</v>
      </c>
      <c r="H20" s="1">
        <v>300000</v>
      </c>
      <c r="I20" s="32"/>
      <c r="J20" s="32" t="s">
        <v>135</v>
      </c>
      <c r="K20" s="31">
        <v>4500000</v>
      </c>
      <c r="L20" s="31">
        <f>N20+B11</f>
        <v>1230000</v>
      </c>
      <c r="M20" s="31">
        <f>K20-L20</f>
        <v>3270000</v>
      </c>
      <c r="N20" s="1">
        <v>700000</v>
      </c>
    </row>
    <row r="21" spans="1:15" x14ac:dyDescent="0.25">
      <c r="G21" s="32" t="s">
        <v>135</v>
      </c>
      <c r="H21" s="33">
        <v>570000</v>
      </c>
      <c r="I21" s="32"/>
      <c r="J21" s="32" t="s">
        <v>149</v>
      </c>
      <c r="K21" s="31">
        <f>H22*2</f>
        <v>3300000</v>
      </c>
      <c r="M21" s="31"/>
      <c r="N21" s="2">
        <f>SUM(N16:N20)</f>
        <v>1962000</v>
      </c>
      <c r="O21" s="1">
        <v>2000000</v>
      </c>
    </row>
    <row r="22" spans="1:15" x14ac:dyDescent="0.25">
      <c r="G22" s="32" t="s">
        <v>140</v>
      </c>
      <c r="H22" s="33">
        <v>1650000</v>
      </c>
      <c r="K22" s="31"/>
    </row>
    <row r="24" spans="1:15" x14ac:dyDescent="0.25">
      <c r="A24" t="s">
        <v>142</v>
      </c>
      <c r="B24">
        <v>350000</v>
      </c>
      <c r="H24" s="1">
        <f>SUM(H18:H22)</f>
        <v>2520000</v>
      </c>
    </row>
    <row r="25" spans="1:15" x14ac:dyDescent="0.25">
      <c r="A25" s="9">
        <v>42901</v>
      </c>
      <c r="B25">
        <v>100000</v>
      </c>
      <c r="G25" t="s">
        <v>120</v>
      </c>
      <c r="K25" s="1">
        <v>2000000</v>
      </c>
      <c r="L25" t="s">
        <v>147</v>
      </c>
    </row>
    <row r="26" spans="1:15" x14ac:dyDescent="0.25">
      <c r="A26" s="9">
        <v>42931</v>
      </c>
      <c r="B26">
        <v>100000</v>
      </c>
      <c r="G26" t="s">
        <v>136</v>
      </c>
      <c r="K26" s="1">
        <v>400000</v>
      </c>
      <c r="L26" t="s">
        <v>148</v>
      </c>
    </row>
    <row r="27" spans="1:15" x14ac:dyDescent="0.25">
      <c r="A27" s="9">
        <v>42962</v>
      </c>
      <c r="B27">
        <v>100000</v>
      </c>
      <c r="G27" t="s">
        <v>137</v>
      </c>
      <c r="K27" s="1">
        <v>6700000</v>
      </c>
      <c r="M27" s="31"/>
    </row>
    <row r="28" spans="1:15" x14ac:dyDescent="0.25">
      <c r="A28" s="9">
        <v>42993</v>
      </c>
      <c r="B28">
        <v>50000</v>
      </c>
      <c r="G28" t="s">
        <v>141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A7" workbookViewId="0">
      <selection activeCell="B9" sqref="B9"/>
    </sheetView>
  </sheetViews>
  <sheetFormatPr baseColWidth="10" defaultRowHeight="15" x14ac:dyDescent="0.25"/>
  <cols>
    <col min="1" max="1" width="12.42578125" customWidth="1"/>
    <col min="2" max="2" width="14.85546875" customWidth="1"/>
    <col min="5" max="5" width="13.140625" bestFit="1" customWidth="1"/>
  </cols>
  <sheetData>
    <row r="1" spans="1:6" x14ac:dyDescent="0.25">
      <c r="A1" t="s">
        <v>118</v>
      </c>
      <c r="B1" s="1"/>
    </row>
    <row r="2" spans="1:6" x14ac:dyDescent="0.25">
      <c r="A2" t="s">
        <v>140</v>
      </c>
      <c r="B2" s="1">
        <v>1300000</v>
      </c>
    </row>
    <row r="3" spans="1:6" x14ac:dyDescent="0.25">
      <c r="A3" t="s">
        <v>122</v>
      </c>
      <c r="B3" s="1">
        <v>50000</v>
      </c>
    </row>
    <row r="4" spans="1:6" x14ac:dyDescent="0.25">
      <c r="A4" t="s">
        <v>123</v>
      </c>
      <c r="B4" s="1">
        <v>75000</v>
      </c>
    </row>
    <row r="5" spans="1:6" x14ac:dyDescent="0.25">
      <c r="A5" t="s">
        <v>124</v>
      </c>
      <c r="B5" s="1">
        <v>50000</v>
      </c>
    </row>
    <row r="6" spans="1:6" x14ac:dyDescent="0.25">
      <c r="A6" t="s">
        <v>125</v>
      </c>
      <c r="B6" s="1">
        <v>100000</v>
      </c>
      <c r="C6" s="1">
        <v>50000</v>
      </c>
      <c r="F6">
        <f>1600*8*4</f>
        <v>51200</v>
      </c>
    </row>
    <row r="7" spans="1:6" x14ac:dyDescent="0.25">
      <c r="A7" t="s">
        <v>139</v>
      </c>
      <c r="B7" s="1">
        <v>80000</v>
      </c>
      <c r="C7" s="1"/>
    </row>
    <row r="8" spans="1:6" x14ac:dyDescent="0.25">
      <c r="A8" t="s">
        <v>126</v>
      </c>
      <c r="B8" s="1">
        <v>47700</v>
      </c>
      <c r="C8" s="1">
        <v>10000</v>
      </c>
    </row>
    <row r="9" spans="1:6" x14ac:dyDescent="0.25">
      <c r="A9" t="s">
        <v>130</v>
      </c>
      <c r="B9" s="1">
        <f>170000+100000+30000+100000</f>
        <v>400000</v>
      </c>
    </row>
    <row r="10" spans="1:6" x14ac:dyDescent="0.25">
      <c r="A10" t="s">
        <v>150</v>
      </c>
      <c r="B10" s="1">
        <v>650000</v>
      </c>
    </row>
    <row r="11" spans="1:6" x14ac:dyDescent="0.25">
      <c r="A11" s="35" t="s">
        <v>151</v>
      </c>
      <c r="B11" s="3">
        <f>SUM(B2:B10)</f>
        <v>2752700</v>
      </c>
      <c r="C11" s="2">
        <f>B11-2250000</f>
        <v>502700</v>
      </c>
    </row>
    <row r="12" spans="1:6" x14ac:dyDescent="0.25">
      <c r="A12" t="s">
        <v>121</v>
      </c>
      <c r="B12" s="1">
        <v>1500000</v>
      </c>
    </row>
    <row r="13" spans="1:6" x14ac:dyDescent="0.25">
      <c r="A13" t="s">
        <v>138</v>
      </c>
      <c r="B13" s="1">
        <v>200000</v>
      </c>
    </row>
    <row r="14" spans="1:6" x14ac:dyDescent="0.25">
      <c r="A14" t="s">
        <v>129</v>
      </c>
      <c r="B14" s="1">
        <v>84000</v>
      </c>
    </row>
    <row r="15" spans="1:6" x14ac:dyDescent="0.25">
      <c r="A15" t="s">
        <v>131</v>
      </c>
      <c r="B15" s="1">
        <f>70000+100000+100000</f>
        <v>270000</v>
      </c>
    </row>
    <row r="16" spans="1:6" x14ac:dyDescent="0.25">
      <c r="A16" t="s">
        <v>127</v>
      </c>
      <c r="B16" s="1">
        <v>70000</v>
      </c>
    </row>
    <row r="17" spans="1:2" x14ac:dyDescent="0.25">
      <c r="A17" t="s">
        <v>87</v>
      </c>
      <c r="B17" s="1">
        <f>20000+50000</f>
        <v>70000</v>
      </c>
    </row>
    <row r="18" spans="1:2" x14ac:dyDescent="0.25">
      <c r="A18" s="35" t="s">
        <v>152</v>
      </c>
      <c r="B18" s="36">
        <f>SUM(B12:B17)</f>
        <v>2194000</v>
      </c>
    </row>
    <row r="19" spans="1:2" x14ac:dyDescent="0.25">
      <c r="B19" s="1">
        <f>B18+B11</f>
        <v>4946700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Enero 30</vt:lpstr>
      <vt:lpstr>Febrero 15</vt:lpstr>
      <vt:lpstr>Febrero 28</vt:lpstr>
      <vt:lpstr>Marzo 15</vt:lpstr>
      <vt:lpstr>Junio 15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Esteban Pabon Cortes</dc:creator>
  <cp:lastModifiedBy>Felipe Esteban Pabon Cortes</cp:lastModifiedBy>
  <dcterms:created xsi:type="dcterms:W3CDTF">2016-12-15T13:35:42Z</dcterms:created>
  <dcterms:modified xsi:type="dcterms:W3CDTF">2017-06-16T15:43:23Z</dcterms:modified>
</cp:coreProperties>
</file>