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aten\Studium\Coursera\FinancialEngineering\week4\"/>
    </mc:Choice>
  </mc:AlternateContent>
  <bookViews>
    <workbookView xWindow="0" yWindow="0" windowWidth="28425" windowHeight="12000" tabRatio="820"/>
  </bookViews>
  <sheets>
    <sheet name="Questions6And7" sheetId="13" r:id="rId1"/>
    <sheet name="Question3And4" sheetId="12" r:id="rId2"/>
    <sheet name="15PeriodBinomialModelAmerican" sheetId="11" r:id="rId3"/>
    <sheet name="EuropeanCall_EG" sheetId="4" r:id="rId4"/>
    <sheet name="AmericanPut_EG" sheetId="5" r:id="rId5"/>
    <sheet name="OptionsOnFuturesEG" sheetId="6" r:id="rId6"/>
    <sheet name="15PeriodBinomialModel" sheetId="8" r:id="rId7"/>
    <sheet name="10PeriodBinomialModel" sheetId="7" r:id="rId8"/>
  </sheets>
  <definedNames>
    <definedName name="FuturesLattice" localSheetId="6">#REF!</definedName>
    <definedName name="FuturesLattice" localSheetId="2">#REF!</definedName>
    <definedName name="FuturesLattice" localSheetId="5">OptionsOnFuturesEG!$A$29:$N$42</definedName>
    <definedName name="FuturesLattice" localSheetId="1">#REF!</definedName>
    <definedName name="FuturesLattice" localSheetId="0">Questions6And7!$A$34:$U$52</definedName>
    <definedName name="FuturesLattice">#REF!</definedName>
    <definedName name="FuturesOptionLattice" localSheetId="6">#REF!</definedName>
    <definedName name="FuturesOptionLattice" localSheetId="2">#REF!</definedName>
    <definedName name="FuturesOptionLattice" localSheetId="5">OptionsOnFuturesEG!$A$45:$N$58</definedName>
    <definedName name="FuturesOptionLattice" localSheetId="1">#REF!</definedName>
    <definedName name="FuturesOptionLattice" localSheetId="0">Questions6And7!$A$55:$U$73</definedName>
    <definedName name="FuturesOptionLattice">#REF!</definedName>
    <definedName name="OptionLattice" localSheetId="6">#REF!</definedName>
    <definedName name="OptionLattice" localSheetId="2">#REF!</definedName>
    <definedName name="OptionLattice" localSheetId="4">AmericanPut_EG!$A$22:$G$28</definedName>
    <definedName name="OptionLattice" localSheetId="3">EuropeanCall_EG!$A$22:$G$28</definedName>
    <definedName name="OptionLattice" localSheetId="5">OptionsOnFuturesEG!#REF!</definedName>
    <definedName name="OptionLattice" localSheetId="1">#REF!</definedName>
    <definedName name="OptionLattice" localSheetId="0">Questions6And7!#REF!</definedName>
    <definedName name="OptionLattice">#REF!</definedName>
    <definedName name="StockLattice" localSheetId="6">#REF!</definedName>
    <definedName name="StockLattice" localSheetId="2">#REF!</definedName>
    <definedName name="StockLattice" localSheetId="4">AmericanPut_EG!$A$13:$G$19</definedName>
    <definedName name="StockLattice" localSheetId="3">EuropeanCall_EG!$A$13:$G$19</definedName>
    <definedName name="StockLattice" localSheetId="5">OptionsOnFuturesEG!#REF!</definedName>
    <definedName name="StockLattice" localSheetId="1">#REF!</definedName>
    <definedName name="StockLattice" localSheetId="0">Questions6And7!#REF!</definedName>
    <definedName name="StockLattice">#REF!</definedName>
    <definedName name="StockLattice_2" localSheetId="6">#REF!</definedName>
    <definedName name="StockLattice_2" localSheetId="2">#REF!</definedName>
    <definedName name="StockLattice_2" localSheetId="5">OptionsOnFuturesEG!$A$13:$N$26</definedName>
    <definedName name="StockLattice_2" localSheetId="1">#REF!</definedName>
    <definedName name="StockLattice_2" localSheetId="0">Questions6And7!$A$13:$U$31</definedName>
    <definedName name="StockLattice_2">#REF!</definedName>
  </definedNames>
  <calcPr calcId="152511" iterateDelta="1E-4"/>
</workbook>
</file>

<file path=xl/calcChain.xml><?xml version="1.0" encoding="utf-8"?>
<calcChain xmlns="http://schemas.openxmlformats.org/spreadsheetml/2006/main">
  <c r="C83" i="13" l="1"/>
  <c r="D83" i="13"/>
  <c r="E83" i="13"/>
  <c r="F83" i="13"/>
  <c r="G83" i="13"/>
  <c r="H83" i="13"/>
  <c r="I83" i="13"/>
  <c r="J83" i="13"/>
  <c r="K83" i="13"/>
  <c r="L83" i="13"/>
  <c r="C84" i="13"/>
  <c r="D84" i="13"/>
  <c r="E84" i="13"/>
  <c r="F84" i="13"/>
  <c r="G84" i="13"/>
  <c r="H84" i="13"/>
  <c r="I84" i="13"/>
  <c r="J84" i="13"/>
  <c r="K84" i="13"/>
  <c r="C85" i="13"/>
  <c r="D85" i="13"/>
  <c r="E85" i="13"/>
  <c r="F85" i="13"/>
  <c r="G85" i="13"/>
  <c r="H85" i="13"/>
  <c r="I85" i="13"/>
  <c r="J85" i="13"/>
  <c r="C86" i="13"/>
  <c r="D86" i="13"/>
  <c r="E86" i="13"/>
  <c r="F86" i="13"/>
  <c r="G86" i="13"/>
  <c r="H86" i="13"/>
  <c r="I86" i="13"/>
  <c r="C87" i="13"/>
  <c r="D87" i="13"/>
  <c r="E87" i="13"/>
  <c r="F87" i="13"/>
  <c r="G87" i="13"/>
  <c r="H87" i="13"/>
  <c r="C88" i="13"/>
  <c r="D88" i="13"/>
  <c r="E88" i="13"/>
  <c r="F88" i="13"/>
  <c r="G88" i="13"/>
  <c r="C89" i="13"/>
  <c r="D89" i="13"/>
  <c r="E89" i="13"/>
  <c r="F89" i="13"/>
  <c r="C90" i="13"/>
  <c r="D90" i="13"/>
  <c r="E90" i="13"/>
  <c r="C91" i="13"/>
  <c r="D91" i="13"/>
  <c r="C92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C40" i="13"/>
  <c r="D40" i="13"/>
  <c r="E40" i="13"/>
  <c r="F40" i="13"/>
  <c r="G40" i="13"/>
  <c r="H40" i="13"/>
  <c r="I40" i="13"/>
  <c r="J40" i="13"/>
  <c r="K40" i="13"/>
  <c r="L40" i="13"/>
  <c r="M40" i="13"/>
  <c r="C41" i="13"/>
  <c r="D41" i="13"/>
  <c r="E41" i="13"/>
  <c r="F41" i="13"/>
  <c r="G41" i="13"/>
  <c r="H41" i="13"/>
  <c r="I41" i="13"/>
  <c r="J41" i="13"/>
  <c r="K41" i="13"/>
  <c r="L41" i="13"/>
  <c r="C42" i="13"/>
  <c r="D42" i="13"/>
  <c r="E42" i="13"/>
  <c r="F42" i="13"/>
  <c r="G42" i="13"/>
  <c r="H42" i="13"/>
  <c r="I42" i="13"/>
  <c r="J42" i="13"/>
  <c r="K42" i="13"/>
  <c r="C43" i="13"/>
  <c r="D43" i="13"/>
  <c r="E43" i="13"/>
  <c r="F43" i="13"/>
  <c r="G43" i="13"/>
  <c r="H43" i="13"/>
  <c r="I43" i="13"/>
  <c r="J43" i="13"/>
  <c r="C44" i="13"/>
  <c r="D44" i="13"/>
  <c r="E44" i="13"/>
  <c r="F44" i="13"/>
  <c r="G44" i="13"/>
  <c r="H44" i="13"/>
  <c r="I44" i="13"/>
  <c r="C45" i="13"/>
  <c r="D45" i="13"/>
  <c r="E45" i="13"/>
  <c r="F45" i="13"/>
  <c r="G45" i="13"/>
  <c r="H45" i="13"/>
  <c r="C46" i="13"/>
  <c r="D46" i="13"/>
  <c r="E46" i="13"/>
  <c r="F46" i="13"/>
  <c r="G46" i="13"/>
  <c r="C47" i="13"/>
  <c r="D47" i="13"/>
  <c r="E47" i="13"/>
  <c r="F47" i="13"/>
  <c r="C48" i="13"/>
  <c r="D48" i="13"/>
  <c r="E48" i="13"/>
  <c r="C49" i="13"/>
  <c r="D49" i="13"/>
  <c r="C50" i="13"/>
  <c r="M15" i="13"/>
  <c r="N15" i="13"/>
  <c r="O15" i="13"/>
  <c r="P15" i="13"/>
  <c r="Q15" i="13"/>
  <c r="M16" i="13"/>
  <c r="N16" i="13"/>
  <c r="O16" i="13"/>
  <c r="P16" i="13"/>
  <c r="M17" i="13"/>
  <c r="N17" i="13"/>
  <c r="O17" i="13"/>
  <c r="M18" i="13"/>
  <c r="N18" i="13"/>
  <c r="M19" i="13"/>
  <c r="C62" i="13" l="1"/>
  <c r="D62" i="13"/>
  <c r="E62" i="13"/>
  <c r="F62" i="13"/>
  <c r="G62" i="13"/>
  <c r="H62" i="13"/>
  <c r="I62" i="13"/>
  <c r="J62" i="13"/>
  <c r="K62" i="13"/>
  <c r="L62" i="13"/>
  <c r="C63" i="13"/>
  <c r="D63" i="13"/>
  <c r="E63" i="13"/>
  <c r="F63" i="13"/>
  <c r="G63" i="13"/>
  <c r="H63" i="13"/>
  <c r="I63" i="13"/>
  <c r="J63" i="13"/>
  <c r="K63" i="13"/>
  <c r="C64" i="13"/>
  <c r="D64" i="13"/>
  <c r="E64" i="13"/>
  <c r="F64" i="13"/>
  <c r="G64" i="13"/>
  <c r="H64" i="13"/>
  <c r="I64" i="13"/>
  <c r="J64" i="13"/>
  <c r="C65" i="13"/>
  <c r="D65" i="13"/>
  <c r="E65" i="13"/>
  <c r="F65" i="13"/>
  <c r="G65" i="13"/>
  <c r="H65" i="13"/>
  <c r="I65" i="13"/>
  <c r="C66" i="13"/>
  <c r="D66" i="13"/>
  <c r="E66" i="13"/>
  <c r="F66" i="13"/>
  <c r="G66" i="13"/>
  <c r="H66" i="13"/>
  <c r="C67" i="13"/>
  <c r="D67" i="13"/>
  <c r="E67" i="13"/>
  <c r="F67" i="13"/>
  <c r="G67" i="13"/>
  <c r="C68" i="13"/>
  <c r="D68" i="13"/>
  <c r="E68" i="13"/>
  <c r="F68" i="13"/>
  <c r="C69" i="13"/>
  <c r="D69" i="13"/>
  <c r="E69" i="13"/>
  <c r="C70" i="13"/>
  <c r="D70" i="13"/>
  <c r="C71" i="13"/>
  <c r="D15" i="13"/>
  <c r="E15" i="13"/>
  <c r="F15" i="13"/>
  <c r="G15" i="13"/>
  <c r="H15" i="13"/>
  <c r="I15" i="13"/>
  <c r="J15" i="13"/>
  <c r="K15" i="13"/>
  <c r="L15" i="13"/>
  <c r="D16" i="13"/>
  <c r="E16" i="13"/>
  <c r="F16" i="13"/>
  <c r="G16" i="13"/>
  <c r="H16" i="13"/>
  <c r="I16" i="13"/>
  <c r="J16" i="13"/>
  <c r="K16" i="13"/>
  <c r="L16" i="13"/>
  <c r="D17" i="13"/>
  <c r="E17" i="13"/>
  <c r="F17" i="13"/>
  <c r="G17" i="13"/>
  <c r="H17" i="13"/>
  <c r="I17" i="13"/>
  <c r="J17" i="13"/>
  <c r="K17" i="13"/>
  <c r="L17" i="13"/>
  <c r="D18" i="13"/>
  <c r="E18" i="13"/>
  <c r="F18" i="13"/>
  <c r="G18" i="13"/>
  <c r="H18" i="13"/>
  <c r="I18" i="13"/>
  <c r="J18" i="13"/>
  <c r="K18" i="13"/>
  <c r="L18" i="13"/>
  <c r="D19" i="13"/>
  <c r="E19" i="13"/>
  <c r="F19" i="13"/>
  <c r="G19" i="13"/>
  <c r="H19" i="13"/>
  <c r="I19" i="13"/>
  <c r="J19" i="13"/>
  <c r="K19" i="13"/>
  <c r="L19" i="13"/>
  <c r="D20" i="13"/>
  <c r="E20" i="13"/>
  <c r="F20" i="13"/>
  <c r="G20" i="13"/>
  <c r="H20" i="13"/>
  <c r="I20" i="13"/>
  <c r="J20" i="13"/>
  <c r="K20" i="13"/>
  <c r="L20" i="13"/>
  <c r="D21" i="13"/>
  <c r="E21" i="13"/>
  <c r="F21" i="13"/>
  <c r="G21" i="13"/>
  <c r="H21" i="13"/>
  <c r="I21" i="13"/>
  <c r="J21" i="13"/>
  <c r="K21" i="13"/>
  <c r="D22" i="13"/>
  <c r="E22" i="13"/>
  <c r="F22" i="13"/>
  <c r="G22" i="13"/>
  <c r="H22" i="13"/>
  <c r="I22" i="13"/>
  <c r="J22" i="13"/>
  <c r="D23" i="13"/>
  <c r="E23" i="13"/>
  <c r="F23" i="13"/>
  <c r="G23" i="13"/>
  <c r="H23" i="13"/>
  <c r="I23" i="13"/>
  <c r="D24" i="13"/>
  <c r="E24" i="13"/>
  <c r="F24" i="13"/>
  <c r="G24" i="13"/>
  <c r="H24" i="13"/>
  <c r="D25" i="13"/>
  <c r="E25" i="13"/>
  <c r="F25" i="13"/>
  <c r="G25" i="13"/>
  <c r="D26" i="13"/>
  <c r="E26" i="13"/>
  <c r="F26" i="13"/>
  <c r="D27" i="13"/>
  <c r="E27" i="13"/>
  <c r="D28" i="13"/>
  <c r="C30" i="13"/>
  <c r="B8" i="13"/>
  <c r="D29" i="13" s="1"/>
  <c r="E28" i="13" s="1"/>
  <c r="F27" i="13" l="1"/>
  <c r="B9" i="13"/>
  <c r="E29" i="13" s="1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B50" i="12"/>
  <c r="C49" i="12"/>
  <c r="B49" i="12"/>
  <c r="D48" i="12"/>
  <c r="C48" i="12"/>
  <c r="B48" i="12"/>
  <c r="E47" i="12"/>
  <c r="D47" i="12"/>
  <c r="C47" i="12"/>
  <c r="B47" i="12"/>
  <c r="F46" i="12"/>
  <c r="E46" i="12"/>
  <c r="D46" i="12"/>
  <c r="C46" i="12"/>
  <c r="B46" i="12"/>
  <c r="G45" i="12"/>
  <c r="F45" i="12"/>
  <c r="E45" i="12"/>
  <c r="D45" i="12"/>
  <c r="C45" i="12"/>
  <c r="B45" i="12"/>
  <c r="H44" i="12"/>
  <c r="G44" i="12"/>
  <c r="F44" i="12"/>
  <c r="E44" i="12"/>
  <c r="D44" i="12"/>
  <c r="C44" i="12"/>
  <c r="B44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K41" i="12"/>
  <c r="J41" i="12"/>
  <c r="I41" i="12"/>
  <c r="H41" i="12"/>
  <c r="G41" i="12"/>
  <c r="F41" i="12"/>
  <c r="E41" i="12"/>
  <c r="D41" i="12"/>
  <c r="C41" i="12"/>
  <c r="B41" i="12"/>
  <c r="L40" i="12"/>
  <c r="K40" i="12"/>
  <c r="J40" i="12"/>
  <c r="I40" i="12"/>
  <c r="H40" i="12"/>
  <c r="G40" i="12"/>
  <c r="F40" i="12"/>
  <c r="E40" i="12"/>
  <c r="D40" i="12"/>
  <c r="C40" i="12"/>
  <c r="B40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B31" i="12"/>
  <c r="C29" i="12"/>
  <c r="D28" i="12"/>
  <c r="C28" i="12"/>
  <c r="E27" i="12"/>
  <c r="D27" i="12"/>
  <c r="C27" i="12"/>
  <c r="F26" i="12"/>
  <c r="E26" i="12"/>
  <c r="D26" i="12"/>
  <c r="C26" i="12"/>
  <c r="G25" i="12"/>
  <c r="F25" i="12"/>
  <c r="E25" i="12"/>
  <c r="D25" i="12"/>
  <c r="C25" i="12"/>
  <c r="H24" i="12"/>
  <c r="G24" i="12"/>
  <c r="F24" i="12"/>
  <c r="E24" i="12"/>
  <c r="D24" i="12"/>
  <c r="C24" i="12"/>
  <c r="I23" i="12"/>
  <c r="H23" i="12"/>
  <c r="G23" i="12"/>
  <c r="F23" i="12"/>
  <c r="E23" i="12"/>
  <c r="D23" i="12"/>
  <c r="C23" i="12"/>
  <c r="J22" i="12"/>
  <c r="I22" i="12"/>
  <c r="H22" i="12"/>
  <c r="G22" i="12"/>
  <c r="F22" i="12"/>
  <c r="E22" i="12"/>
  <c r="D22" i="12"/>
  <c r="C22" i="12"/>
  <c r="K21" i="12"/>
  <c r="J21" i="12"/>
  <c r="I21" i="12"/>
  <c r="H21" i="12"/>
  <c r="G21" i="12"/>
  <c r="F21" i="12"/>
  <c r="E21" i="12"/>
  <c r="D21" i="12"/>
  <c r="C21" i="12"/>
  <c r="L20" i="12"/>
  <c r="K20" i="12"/>
  <c r="J20" i="12"/>
  <c r="I20" i="12"/>
  <c r="H20" i="12"/>
  <c r="G20" i="12"/>
  <c r="F20" i="12"/>
  <c r="E20" i="12"/>
  <c r="D20" i="12"/>
  <c r="C20" i="12"/>
  <c r="M19" i="12"/>
  <c r="L19" i="12"/>
  <c r="K19" i="12"/>
  <c r="J19" i="12"/>
  <c r="I19" i="12"/>
  <c r="H19" i="12"/>
  <c r="G19" i="12"/>
  <c r="F19" i="12"/>
  <c r="E19" i="12"/>
  <c r="D19" i="12"/>
  <c r="C19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9" i="12"/>
  <c r="B8" i="12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B40" i="11"/>
  <c r="C40" i="11"/>
  <c r="D40" i="11"/>
  <c r="E40" i="11"/>
  <c r="F40" i="11"/>
  <c r="G40" i="11"/>
  <c r="H40" i="11"/>
  <c r="I40" i="11"/>
  <c r="J40" i="11"/>
  <c r="K40" i="11"/>
  <c r="L40" i="11"/>
  <c r="B41" i="11"/>
  <c r="C41" i="11"/>
  <c r="D41" i="11"/>
  <c r="E41" i="11"/>
  <c r="F41" i="11"/>
  <c r="G41" i="11"/>
  <c r="H41" i="11"/>
  <c r="I41" i="11"/>
  <c r="J41" i="11"/>
  <c r="K41" i="11"/>
  <c r="B42" i="11"/>
  <c r="C42" i="11"/>
  <c r="D42" i="11"/>
  <c r="E42" i="11"/>
  <c r="F42" i="11"/>
  <c r="G42" i="11"/>
  <c r="H42" i="11"/>
  <c r="I42" i="11"/>
  <c r="J42" i="11"/>
  <c r="B43" i="11"/>
  <c r="C43" i="11"/>
  <c r="D43" i="11"/>
  <c r="E43" i="11"/>
  <c r="F43" i="11"/>
  <c r="G43" i="11"/>
  <c r="H43" i="11"/>
  <c r="I43" i="11"/>
  <c r="B44" i="11"/>
  <c r="C44" i="11"/>
  <c r="D44" i="11"/>
  <c r="E44" i="11"/>
  <c r="F44" i="11"/>
  <c r="G44" i="11"/>
  <c r="H44" i="11"/>
  <c r="B45" i="11"/>
  <c r="C45" i="11"/>
  <c r="D45" i="11"/>
  <c r="E45" i="11"/>
  <c r="F45" i="11"/>
  <c r="G45" i="11"/>
  <c r="B46" i="11"/>
  <c r="C46" i="11"/>
  <c r="D46" i="11"/>
  <c r="E46" i="11"/>
  <c r="F46" i="11"/>
  <c r="B47" i="11"/>
  <c r="C47" i="11"/>
  <c r="D47" i="11"/>
  <c r="E47" i="11"/>
  <c r="B48" i="11"/>
  <c r="C48" i="11"/>
  <c r="D48" i="11"/>
  <c r="B49" i="11"/>
  <c r="C49" i="11"/>
  <c r="B50" i="11"/>
  <c r="F28" i="13" l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6" i="13"/>
  <c r="G27" i="13"/>
  <c r="H27" i="13" s="1"/>
  <c r="I27" i="13" s="1"/>
  <c r="J27" i="13" s="1"/>
  <c r="K27" i="13" s="1"/>
  <c r="L27" i="13" s="1"/>
  <c r="M27" i="13" s="1"/>
  <c r="N27" i="13" s="1"/>
  <c r="O27" i="13" s="1"/>
  <c r="P27" i="13" s="1"/>
  <c r="Q27" i="13" s="1"/>
  <c r="R27" i="13" s="1"/>
  <c r="D30" i="13"/>
  <c r="E30" i="13" s="1"/>
  <c r="F30" i="13" s="1"/>
  <c r="G30" i="13" s="1"/>
  <c r="H30" i="13" s="1"/>
  <c r="I30" i="13" s="1"/>
  <c r="J30" i="13" s="1"/>
  <c r="K30" i="13" s="1"/>
  <c r="B10" i="13"/>
  <c r="C31" i="12"/>
  <c r="D31" i="12" s="1"/>
  <c r="B10" i="12"/>
  <c r="B11" i="12" s="1"/>
  <c r="C30" i="12"/>
  <c r="D29" i="12" s="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B31" i="11"/>
  <c r="C29" i="11"/>
  <c r="D28" i="11"/>
  <c r="C28" i="11"/>
  <c r="E27" i="11"/>
  <c r="D27" i="11"/>
  <c r="C27" i="11"/>
  <c r="F26" i="11"/>
  <c r="E26" i="11"/>
  <c r="D26" i="11"/>
  <c r="C26" i="11"/>
  <c r="G25" i="11"/>
  <c r="F25" i="11"/>
  <c r="E25" i="11"/>
  <c r="D25" i="11"/>
  <c r="C25" i="11"/>
  <c r="H24" i="11"/>
  <c r="G24" i="11"/>
  <c r="F24" i="11"/>
  <c r="E24" i="11"/>
  <c r="D24" i="11"/>
  <c r="C24" i="11"/>
  <c r="I23" i="11"/>
  <c r="H23" i="11"/>
  <c r="G23" i="11"/>
  <c r="F23" i="11"/>
  <c r="E23" i="11"/>
  <c r="D23" i="11"/>
  <c r="C23" i="11"/>
  <c r="J22" i="11"/>
  <c r="I22" i="11"/>
  <c r="H22" i="11"/>
  <c r="G22" i="11"/>
  <c r="F22" i="11"/>
  <c r="E22" i="11"/>
  <c r="D22" i="11"/>
  <c r="C22" i="11"/>
  <c r="K21" i="11"/>
  <c r="J21" i="11"/>
  <c r="I21" i="11"/>
  <c r="H21" i="11"/>
  <c r="G21" i="11"/>
  <c r="F21" i="11"/>
  <c r="E21" i="11"/>
  <c r="D21" i="11"/>
  <c r="C21" i="11"/>
  <c r="L20" i="11"/>
  <c r="K20" i="11"/>
  <c r="J20" i="11"/>
  <c r="I20" i="11"/>
  <c r="H20" i="11"/>
  <c r="G20" i="11"/>
  <c r="F20" i="11"/>
  <c r="E20" i="11"/>
  <c r="D20" i="11"/>
  <c r="C20" i="11"/>
  <c r="M19" i="11"/>
  <c r="L19" i="11"/>
  <c r="K19" i="11"/>
  <c r="J19" i="11"/>
  <c r="I19" i="11"/>
  <c r="H19" i="11"/>
  <c r="G19" i="11"/>
  <c r="F19" i="11"/>
  <c r="E19" i="11"/>
  <c r="D19" i="11"/>
  <c r="C19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8" i="11"/>
  <c r="B9" i="11" s="1"/>
  <c r="B11" i="13" l="1"/>
  <c r="Q42" i="13" s="1"/>
  <c r="L30" i="13"/>
  <c r="H25" i="13"/>
  <c r="H26" i="13"/>
  <c r="I26" i="13" s="1"/>
  <c r="J26" i="13" s="1"/>
  <c r="K26" i="13" s="1"/>
  <c r="L26" i="13" s="1"/>
  <c r="M26" i="13" s="1"/>
  <c r="N26" i="13" s="1"/>
  <c r="O26" i="13" s="1"/>
  <c r="P26" i="13" s="1"/>
  <c r="Q26" i="13" s="1"/>
  <c r="R26" i="13" s="1"/>
  <c r="E31" i="12"/>
  <c r="E28" i="12"/>
  <c r="D30" i="12"/>
  <c r="E29" i="12"/>
  <c r="C31" i="11"/>
  <c r="B10" i="11"/>
  <c r="C30" i="11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B39" i="8"/>
  <c r="C39" i="8"/>
  <c r="D39" i="8"/>
  <c r="E39" i="8"/>
  <c r="F39" i="8"/>
  <c r="G39" i="8"/>
  <c r="H39" i="8"/>
  <c r="I39" i="8"/>
  <c r="J39" i="8"/>
  <c r="K39" i="8"/>
  <c r="L39" i="8"/>
  <c r="M39" i="8"/>
  <c r="B40" i="8"/>
  <c r="C40" i="8"/>
  <c r="D40" i="8"/>
  <c r="E40" i="8"/>
  <c r="F40" i="8"/>
  <c r="G40" i="8"/>
  <c r="H40" i="8"/>
  <c r="I40" i="8"/>
  <c r="J40" i="8"/>
  <c r="K40" i="8"/>
  <c r="L40" i="8"/>
  <c r="B41" i="8"/>
  <c r="C41" i="8"/>
  <c r="D41" i="8"/>
  <c r="E41" i="8"/>
  <c r="F41" i="8"/>
  <c r="G41" i="8"/>
  <c r="H41" i="8"/>
  <c r="I41" i="8"/>
  <c r="J41" i="8"/>
  <c r="K41" i="8"/>
  <c r="B42" i="8"/>
  <c r="C42" i="8"/>
  <c r="D42" i="8"/>
  <c r="E42" i="8"/>
  <c r="F42" i="8"/>
  <c r="G42" i="8"/>
  <c r="H42" i="8"/>
  <c r="I42" i="8"/>
  <c r="J42" i="8"/>
  <c r="B43" i="8"/>
  <c r="C43" i="8"/>
  <c r="D43" i="8"/>
  <c r="E43" i="8"/>
  <c r="F43" i="8"/>
  <c r="G43" i="8"/>
  <c r="H43" i="8"/>
  <c r="I43" i="8"/>
  <c r="B44" i="8"/>
  <c r="C44" i="8"/>
  <c r="D44" i="8"/>
  <c r="E44" i="8"/>
  <c r="F44" i="8"/>
  <c r="G44" i="8"/>
  <c r="H44" i="8"/>
  <c r="B45" i="8"/>
  <c r="C45" i="8"/>
  <c r="D45" i="8"/>
  <c r="E45" i="8"/>
  <c r="F45" i="8"/>
  <c r="G45" i="8"/>
  <c r="B46" i="8"/>
  <c r="C46" i="8"/>
  <c r="D46" i="8"/>
  <c r="E46" i="8"/>
  <c r="F46" i="8"/>
  <c r="B47" i="8"/>
  <c r="C47" i="8"/>
  <c r="D47" i="8"/>
  <c r="E47" i="8"/>
  <c r="B48" i="8"/>
  <c r="C48" i="8"/>
  <c r="D48" i="8"/>
  <c r="B49" i="8"/>
  <c r="C49" i="8"/>
  <c r="B50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C18" i="8"/>
  <c r="D18" i="8"/>
  <c r="E18" i="8"/>
  <c r="F18" i="8"/>
  <c r="G18" i="8"/>
  <c r="H18" i="8"/>
  <c r="I18" i="8"/>
  <c r="J18" i="8"/>
  <c r="K18" i="8"/>
  <c r="L18" i="8"/>
  <c r="M18" i="8"/>
  <c r="N18" i="8"/>
  <c r="C19" i="8"/>
  <c r="D19" i="8"/>
  <c r="E19" i="8"/>
  <c r="F19" i="8"/>
  <c r="G19" i="8"/>
  <c r="H19" i="8"/>
  <c r="I19" i="8"/>
  <c r="J19" i="8"/>
  <c r="K19" i="8"/>
  <c r="L19" i="8"/>
  <c r="M19" i="8"/>
  <c r="C20" i="8"/>
  <c r="D20" i="8"/>
  <c r="E20" i="8"/>
  <c r="F20" i="8"/>
  <c r="G20" i="8"/>
  <c r="H20" i="8"/>
  <c r="I20" i="8"/>
  <c r="J20" i="8"/>
  <c r="K20" i="8"/>
  <c r="L20" i="8"/>
  <c r="C21" i="8"/>
  <c r="D21" i="8"/>
  <c r="E21" i="8"/>
  <c r="F21" i="8"/>
  <c r="G21" i="8"/>
  <c r="H21" i="8"/>
  <c r="I21" i="8"/>
  <c r="J21" i="8"/>
  <c r="K21" i="8"/>
  <c r="C22" i="8"/>
  <c r="D22" i="8"/>
  <c r="E22" i="8"/>
  <c r="F22" i="8"/>
  <c r="G22" i="8"/>
  <c r="H22" i="8"/>
  <c r="I22" i="8"/>
  <c r="J22" i="8"/>
  <c r="C23" i="8"/>
  <c r="D23" i="8"/>
  <c r="E23" i="8"/>
  <c r="F23" i="8"/>
  <c r="G23" i="8"/>
  <c r="H23" i="8"/>
  <c r="I23" i="8"/>
  <c r="C24" i="8"/>
  <c r="D24" i="8"/>
  <c r="E24" i="8"/>
  <c r="F24" i="8"/>
  <c r="G24" i="8"/>
  <c r="H24" i="8"/>
  <c r="C25" i="8"/>
  <c r="D25" i="8"/>
  <c r="E25" i="8"/>
  <c r="F25" i="8"/>
  <c r="G25" i="8"/>
  <c r="C26" i="8"/>
  <c r="D26" i="8"/>
  <c r="E26" i="8"/>
  <c r="F26" i="8"/>
  <c r="C27" i="8"/>
  <c r="D27" i="8"/>
  <c r="E27" i="8"/>
  <c r="C28" i="8"/>
  <c r="D28" i="8"/>
  <c r="C29" i="8"/>
  <c r="B31" i="8"/>
  <c r="B8" i="8"/>
  <c r="B8" i="7"/>
  <c r="B9" i="7" s="1"/>
  <c r="B26" i="7"/>
  <c r="B40" i="7"/>
  <c r="C39" i="7"/>
  <c r="B39" i="7"/>
  <c r="D38" i="7"/>
  <c r="C38" i="7"/>
  <c r="B38" i="7"/>
  <c r="E37" i="7"/>
  <c r="D37" i="7"/>
  <c r="C37" i="7"/>
  <c r="B37" i="7"/>
  <c r="F36" i="7"/>
  <c r="E36" i="7"/>
  <c r="D36" i="7"/>
  <c r="C36" i="7"/>
  <c r="B36" i="7"/>
  <c r="G35" i="7"/>
  <c r="F35" i="7"/>
  <c r="E35" i="7"/>
  <c r="D35" i="7"/>
  <c r="C35" i="7"/>
  <c r="B35" i="7"/>
  <c r="H34" i="7"/>
  <c r="G34" i="7"/>
  <c r="F34" i="7"/>
  <c r="E34" i="7"/>
  <c r="D34" i="7"/>
  <c r="C34" i="7"/>
  <c r="B34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K31" i="7"/>
  <c r="J31" i="7"/>
  <c r="I31" i="7"/>
  <c r="H31" i="7"/>
  <c r="G31" i="7"/>
  <c r="F31" i="7"/>
  <c r="E31" i="7"/>
  <c r="D31" i="7"/>
  <c r="C31" i="7"/>
  <c r="B31" i="7"/>
  <c r="C24" i="7"/>
  <c r="D23" i="7"/>
  <c r="C23" i="7"/>
  <c r="E22" i="7"/>
  <c r="D22" i="7"/>
  <c r="C22" i="7"/>
  <c r="F21" i="7"/>
  <c r="E21" i="7"/>
  <c r="D21" i="7"/>
  <c r="C21" i="7"/>
  <c r="G20" i="7"/>
  <c r="F20" i="7"/>
  <c r="E20" i="7"/>
  <c r="D20" i="7"/>
  <c r="C20" i="7"/>
  <c r="H19" i="7"/>
  <c r="G19" i="7"/>
  <c r="F19" i="7"/>
  <c r="E19" i="7"/>
  <c r="D19" i="7"/>
  <c r="C19" i="7"/>
  <c r="I18" i="7"/>
  <c r="H18" i="7"/>
  <c r="G18" i="7"/>
  <c r="F18" i="7"/>
  <c r="E18" i="7"/>
  <c r="D18" i="7"/>
  <c r="C18" i="7"/>
  <c r="J17" i="7"/>
  <c r="I17" i="7"/>
  <c r="H17" i="7"/>
  <c r="G17" i="7"/>
  <c r="F17" i="7"/>
  <c r="E17" i="7"/>
  <c r="D17" i="7"/>
  <c r="C17" i="7"/>
  <c r="K16" i="7"/>
  <c r="J16" i="7"/>
  <c r="I16" i="7"/>
  <c r="H16" i="7"/>
  <c r="G16" i="7"/>
  <c r="F16" i="7"/>
  <c r="E16" i="7"/>
  <c r="D16" i="7"/>
  <c r="C16" i="7"/>
  <c r="B8" i="6"/>
  <c r="B8" i="5"/>
  <c r="D17" i="5" s="1"/>
  <c r="E17" i="5"/>
  <c r="E26" i="5" s="1"/>
  <c r="B9" i="5"/>
  <c r="B10" i="5" s="1"/>
  <c r="E16" i="5"/>
  <c r="E25" i="5" s="1"/>
  <c r="C17" i="5"/>
  <c r="D16" i="5"/>
  <c r="C16" i="5"/>
  <c r="D15" i="5"/>
  <c r="E14" i="5"/>
  <c r="E23" i="5" s="1"/>
  <c r="B8" i="4"/>
  <c r="E15" i="4" s="1"/>
  <c r="E24" i="4" s="1"/>
  <c r="D15" i="4"/>
  <c r="P43" i="13" l="1"/>
  <c r="D16" i="4"/>
  <c r="B17" i="4"/>
  <c r="C17" i="4"/>
  <c r="E16" i="4"/>
  <c r="E25" i="4" s="1"/>
  <c r="D26" i="4" s="1"/>
  <c r="D17" i="4"/>
  <c r="B9" i="4"/>
  <c r="B10" i="4" s="1"/>
  <c r="E14" i="4"/>
  <c r="E23" i="4" s="1"/>
  <c r="E17" i="4"/>
  <c r="E26" i="4" s="1"/>
  <c r="Q41" i="13"/>
  <c r="P42" i="13" s="1"/>
  <c r="O43" i="13" s="1"/>
  <c r="Q40" i="13"/>
  <c r="Q51" i="13"/>
  <c r="Q39" i="13"/>
  <c r="P40" i="13" s="1"/>
  <c r="Q44" i="13"/>
  <c r="P45" i="13" s="1"/>
  <c r="D26" i="5"/>
  <c r="Q50" i="13"/>
  <c r="Q43" i="13"/>
  <c r="Q38" i="13"/>
  <c r="P39" i="13" s="1"/>
  <c r="O40" i="13" s="1"/>
  <c r="C16" i="4"/>
  <c r="Q47" i="13"/>
  <c r="Q49" i="13"/>
  <c r="Q48" i="13"/>
  <c r="P49" i="13" s="1"/>
  <c r="Q45" i="13"/>
  <c r="Q46" i="13"/>
  <c r="Q37" i="13"/>
  <c r="M30" i="13"/>
  <c r="N30" i="13" s="1"/>
  <c r="O30" i="13" s="1"/>
  <c r="P30" i="13" s="1"/>
  <c r="Q30" i="13" s="1"/>
  <c r="R30" i="13" s="1"/>
  <c r="I24" i="13"/>
  <c r="I25" i="13"/>
  <c r="J25" i="13" s="1"/>
  <c r="K25" i="13" s="1"/>
  <c r="L25" i="13" s="1"/>
  <c r="M25" i="13" s="1"/>
  <c r="N25" i="13" s="1"/>
  <c r="O25" i="13" s="1"/>
  <c r="P25" i="13" s="1"/>
  <c r="Q25" i="13" s="1"/>
  <c r="R25" i="13" s="1"/>
  <c r="F29" i="12"/>
  <c r="F27" i="12"/>
  <c r="F28" i="12"/>
  <c r="E30" i="12"/>
  <c r="F31" i="12"/>
  <c r="D30" i="11"/>
  <c r="D31" i="11"/>
  <c r="D29" i="11"/>
  <c r="B11" i="11"/>
  <c r="C30" i="8"/>
  <c r="D29" i="8" s="1"/>
  <c r="E28" i="8" s="1"/>
  <c r="B9" i="8"/>
  <c r="C26" i="7"/>
  <c r="D26" i="7" s="1"/>
  <c r="E26" i="7" s="1"/>
  <c r="F26" i="7" s="1"/>
  <c r="G26" i="7" s="1"/>
  <c r="H26" i="7" s="1"/>
  <c r="I26" i="7" s="1"/>
  <c r="J26" i="7" s="1"/>
  <c r="K26" i="7" s="1"/>
  <c r="L26" i="7" s="1"/>
  <c r="L41" i="7" s="1"/>
  <c r="B10" i="7"/>
  <c r="B11" i="7" s="1"/>
  <c r="B9" i="6"/>
  <c r="J19" i="6" s="1"/>
  <c r="D24" i="4"/>
  <c r="B17" i="5"/>
  <c r="E15" i="5"/>
  <c r="E24" i="5" s="1"/>
  <c r="D25" i="5" s="1"/>
  <c r="C26" i="5" s="1"/>
  <c r="E24" i="6"/>
  <c r="C25" i="7"/>
  <c r="D25" i="7" s="1"/>
  <c r="E25" i="7" s="1"/>
  <c r="F25" i="7" s="1"/>
  <c r="G25" i="7" s="1"/>
  <c r="H25" i="7" s="1"/>
  <c r="I25" i="7" s="1"/>
  <c r="J25" i="7" s="1"/>
  <c r="K25" i="7" s="1"/>
  <c r="L25" i="7" s="1"/>
  <c r="L40" i="7" s="1"/>
  <c r="C25" i="4" l="1"/>
  <c r="B26" i="4" s="1"/>
  <c r="P50" i="13"/>
  <c r="O51" i="13" s="1"/>
  <c r="P51" i="13"/>
  <c r="O41" i="13"/>
  <c r="N42" i="13" s="1"/>
  <c r="M43" i="13" s="1"/>
  <c r="P48" i="13"/>
  <c r="O49" i="13" s="1"/>
  <c r="D24" i="5"/>
  <c r="C25" i="5" s="1"/>
  <c r="B26" i="5" s="1"/>
  <c r="C31" i="8"/>
  <c r="D31" i="8" s="1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Q51" i="8" s="1"/>
  <c r="P41" i="13"/>
  <c r="O42" i="13" s="1"/>
  <c r="N43" i="13" s="1"/>
  <c r="P38" i="13"/>
  <c r="O39" i="13" s="1"/>
  <c r="N40" i="13" s="1"/>
  <c r="P44" i="13"/>
  <c r="O45" i="13" s="1"/>
  <c r="D25" i="4"/>
  <c r="C26" i="4" s="1"/>
  <c r="P46" i="13"/>
  <c r="O47" i="13" s="1"/>
  <c r="N48" i="13" s="1"/>
  <c r="M49" i="13" s="1"/>
  <c r="P47" i="13"/>
  <c r="O48" i="13" s="1"/>
  <c r="N49" i="13" s="1"/>
  <c r="O44" i="13"/>
  <c r="N45" i="13" s="1"/>
  <c r="J24" i="13"/>
  <c r="K24" i="13" s="1"/>
  <c r="L24" i="13" s="1"/>
  <c r="M24" i="13" s="1"/>
  <c r="N24" i="13" s="1"/>
  <c r="O24" i="13" s="1"/>
  <c r="P24" i="13" s="1"/>
  <c r="Q24" i="13" s="1"/>
  <c r="R24" i="13" s="1"/>
  <c r="J23" i="13"/>
  <c r="I24" i="6"/>
  <c r="J17" i="6"/>
  <c r="G22" i="6"/>
  <c r="D22" i="6"/>
  <c r="K23" i="6"/>
  <c r="K20" i="6"/>
  <c r="K15" i="6"/>
  <c r="L18" i="6"/>
  <c r="L34" i="6" s="1"/>
  <c r="L50" i="6" s="1"/>
  <c r="K21" i="6"/>
  <c r="L23" i="6"/>
  <c r="L39" i="6" s="1"/>
  <c r="L55" i="6" s="1"/>
  <c r="K17" i="6"/>
  <c r="E21" i="6"/>
  <c r="L20" i="6"/>
  <c r="L36" i="6" s="1"/>
  <c r="L52" i="6" s="1"/>
  <c r="C23" i="6"/>
  <c r="G20" i="6"/>
  <c r="D24" i="6"/>
  <c r="F20" i="6"/>
  <c r="J24" i="6"/>
  <c r="H22" i="6"/>
  <c r="I19" i="6"/>
  <c r="J23" i="6"/>
  <c r="H19" i="6"/>
  <c r="D23" i="6"/>
  <c r="G29" i="12"/>
  <c r="G27" i="12"/>
  <c r="G26" i="12"/>
  <c r="F30" i="12"/>
  <c r="G31" i="12"/>
  <c r="G28" i="12"/>
  <c r="E30" i="11"/>
  <c r="E31" i="11"/>
  <c r="E29" i="11"/>
  <c r="E28" i="11"/>
  <c r="E29" i="8"/>
  <c r="F29" i="8" s="1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Q29" i="8" s="1"/>
  <c r="Q49" i="8" s="1"/>
  <c r="D30" i="8"/>
  <c r="E30" i="8" s="1"/>
  <c r="F30" i="8" s="1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Q50" i="8" s="1"/>
  <c r="F27" i="8"/>
  <c r="F28" i="8"/>
  <c r="G28" i="8" s="1"/>
  <c r="H28" i="8" s="1"/>
  <c r="I28" i="8" s="1"/>
  <c r="J28" i="8" s="1"/>
  <c r="K28" i="8" s="1"/>
  <c r="L28" i="8" s="1"/>
  <c r="K41" i="7"/>
  <c r="B10" i="8"/>
  <c r="L17" i="6"/>
  <c r="L33" i="6" s="1"/>
  <c r="L49" i="6" s="1"/>
  <c r="F23" i="6"/>
  <c r="G21" i="6"/>
  <c r="I18" i="6"/>
  <c r="L22" i="6"/>
  <c r="L38" i="6" s="1"/>
  <c r="L54" i="6" s="1"/>
  <c r="F24" i="6"/>
  <c r="I22" i="6"/>
  <c r="H20" i="6"/>
  <c r="J16" i="6"/>
  <c r="L24" i="6"/>
  <c r="L40" i="6" s="1"/>
  <c r="L56" i="6" s="1"/>
  <c r="D24" i="7"/>
  <c r="E23" i="7" s="1"/>
  <c r="L15" i="6"/>
  <c r="L31" i="6" s="1"/>
  <c r="L47" i="6" s="1"/>
  <c r="G23" i="6"/>
  <c r="H21" i="6"/>
  <c r="J18" i="6"/>
  <c r="H24" i="6"/>
  <c r="K22" i="6"/>
  <c r="J20" i="6"/>
  <c r="I17" i="6"/>
  <c r="L21" i="6"/>
  <c r="L37" i="6" s="1"/>
  <c r="L53" i="6" s="1"/>
  <c r="B24" i="6"/>
  <c r="E22" i="6"/>
  <c r="L16" i="6"/>
  <c r="L32" i="6" s="1"/>
  <c r="L48" i="6" s="1"/>
  <c r="K24" i="6"/>
  <c r="E23" i="6"/>
  <c r="J21" i="6"/>
  <c r="K19" i="6"/>
  <c r="K16" i="6"/>
  <c r="G24" i="6"/>
  <c r="I23" i="6"/>
  <c r="F22" i="6"/>
  <c r="I20" i="6"/>
  <c r="H18" i="6"/>
  <c r="B10" i="6"/>
  <c r="L19" i="6"/>
  <c r="L35" i="6" s="1"/>
  <c r="L51" i="6" s="1"/>
  <c r="C24" i="6"/>
  <c r="J22" i="6"/>
  <c r="F21" i="6"/>
  <c r="G19" i="6"/>
  <c r="L14" i="6"/>
  <c r="L30" i="6" s="1"/>
  <c r="L46" i="6" s="1"/>
  <c r="H23" i="6"/>
  <c r="I21" i="6"/>
  <c r="K18" i="6"/>
  <c r="O46" i="13" l="1"/>
  <c r="N47" i="13" s="1"/>
  <c r="M48" i="13" s="1"/>
  <c r="O50" i="13"/>
  <c r="N51" i="13" s="1"/>
  <c r="N44" i="13"/>
  <c r="M45" i="13" s="1"/>
  <c r="M85" i="13"/>
  <c r="M64" i="13"/>
  <c r="M91" i="13"/>
  <c r="M70" i="13"/>
  <c r="N41" i="13"/>
  <c r="M42" i="13" s="1"/>
  <c r="K22" i="13"/>
  <c r="K23" i="13"/>
  <c r="L23" i="13" s="1"/>
  <c r="M23" i="13" s="1"/>
  <c r="N23" i="13" s="1"/>
  <c r="O23" i="13" s="1"/>
  <c r="P23" i="13" s="1"/>
  <c r="Q23" i="13" s="1"/>
  <c r="R23" i="13" s="1"/>
  <c r="H27" i="12"/>
  <c r="H28" i="12"/>
  <c r="G30" i="12"/>
  <c r="H29" i="12"/>
  <c r="H31" i="12"/>
  <c r="H25" i="12"/>
  <c r="H26" i="12"/>
  <c r="F30" i="11"/>
  <c r="F29" i="11"/>
  <c r="F31" i="11"/>
  <c r="F28" i="11"/>
  <c r="F27" i="11"/>
  <c r="M28" i="8"/>
  <c r="N28" i="8" s="1"/>
  <c r="O28" i="8" s="1"/>
  <c r="P28" i="8" s="1"/>
  <c r="Q28" i="8" s="1"/>
  <c r="Q48" i="8" s="1"/>
  <c r="G27" i="8"/>
  <c r="H27" i="8" s="1"/>
  <c r="I27" i="8" s="1"/>
  <c r="J27" i="8" s="1"/>
  <c r="K27" i="8" s="1"/>
  <c r="L27" i="8" s="1"/>
  <c r="G26" i="8"/>
  <c r="B11" i="8"/>
  <c r="E24" i="7"/>
  <c r="F24" i="7" s="1"/>
  <c r="G24" i="7" s="1"/>
  <c r="H24" i="7" s="1"/>
  <c r="I24" i="7" s="1"/>
  <c r="J24" i="7" s="1"/>
  <c r="K24" i="7" s="1"/>
  <c r="L24" i="7" s="1"/>
  <c r="L39" i="7" s="1"/>
  <c r="K40" i="7" s="1"/>
  <c r="J41" i="7" s="1"/>
  <c r="B11" i="6"/>
  <c r="K31" i="6" s="1"/>
  <c r="K37" i="6"/>
  <c r="K33" i="6"/>
  <c r="F22" i="7"/>
  <c r="F23" i="7"/>
  <c r="G23" i="7" s="1"/>
  <c r="H23" i="7" s="1"/>
  <c r="I23" i="7" s="1"/>
  <c r="J23" i="7" s="1"/>
  <c r="K23" i="7" s="1"/>
  <c r="L23" i="7" s="1"/>
  <c r="L38" i="7" s="1"/>
  <c r="K48" i="6" l="1"/>
  <c r="M84" i="13"/>
  <c r="L43" i="13"/>
  <c r="M63" i="13"/>
  <c r="L64" i="13" s="1"/>
  <c r="M44" i="13"/>
  <c r="N50" i="13"/>
  <c r="M50" i="13" s="1"/>
  <c r="K36" i="6"/>
  <c r="J37" i="6" s="1"/>
  <c r="I37" i="6" s="1"/>
  <c r="M87" i="13"/>
  <c r="M66" i="13"/>
  <c r="K56" i="6"/>
  <c r="K49" i="6"/>
  <c r="K40" i="6"/>
  <c r="M41" i="13"/>
  <c r="M90" i="13"/>
  <c r="L49" i="13"/>
  <c r="M69" i="13"/>
  <c r="L70" i="13" s="1"/>
  <c r="N46" i="13"/>
  <c r="K35" i="6"/>
  <c r="J36" i="6" s="1"/>
  <c r="L21" i="13"/>
  <c r="L22" i="13"/>
  <c r="M22" i="13" s="1"/>
  <c r="N22" i="13" s="1"/>
  <c r="O22" i="13" s="1"/>
  <c r="P22" i="13" s="1"/>
  <c r="Q22" i="13" s="1"/>
  <c r="R22" i="13" s="1"/>
  <c r="K54" i="6"/>
  <c r="K51" i="6"/>
  <c r="K38" i="6"/>
  <c r="J38" i="6" s="1"/>
  <c r="K55" i="6"/>
  <c r="J56" i="6" s="1"/>
  <c r="K32" i="6"/>
  <c r="J33" i="6" s="1"/>
  <c r="K50" i="6"/>
  <c r="K53" i="6"/>
  <c r="K47" i="6"/>
  <c r="I31" i="12"/>
  <c r="H30" i="12"/>
  <c r="I27" i="12"/>
  <c r="I26" i="12"/>
  <c r="I24" i="12"/>
  <c r="I25" i="12"/>
  <c r="I29" i="12"/>
  <c r="I28" i="12"/>
  <c r="G29" i="11"/>
  <c r="G28" i="11"/>
  <c r="G30" i="11"/>
  <c r="G31" i="11"/>
  <c r="G27" i="11"/>
  <c r="G26" i="11"/>
  <c r="P49" i="8"/>
  <c r="P51" i="8"/>
  <c r="P50" i="8"/>
  <c r="M27" i="8"/>
  <c r="N27" i="8" s="1"/>
  <c r="O27" i="8" s="1"/>
  <c r="P27" i="8" s="1"/>
  <c r="Q27" i="8" s="1"/>
  <c r="Q47" i="8" s="1"/>
  <c r="P48" i="8" s="1"/>
  <c r="H25" i="8"/>
  <c r="H26" i="8"/>
  <c r="I26" i="8" s="1"/>
  <c r="J26" i="8" s="1"/>
  <c r="K26" i="8" s="1"/>
  <c r="L26" i="8" s="1"/>
  <c r="K39" i="7"/>
  <c r="J40" i="7" s="1"/>
  <c r="I41" i="7" s="1"/>
  <c r="K34" i="6"/>
  <c r="J35" i="6" s="1"/>
  <c r="J49" i="6"/>
  <c r="K39" i="6"/>
  <c r="K52" i="6"/>
  <c r="J52" i="6" s="1"/>
  <c r="G21" i="7"/>
  <c r="G22" i="7"/>
  <c r="H22" i="7" s="1"/>
  <c r="I22" i="7" s="1"/>
  <c r="J22" i="7" s="1"/>
  <c r="K22" i="7" s="1"/>
  <c r="L22" i="7" s="1"/>
  <c r="L37" i="7" s="1"/>
  <c r="K38" i="7" s="1"/>
  <c r="M83" i="13" l="1"/>
  <c r="M62" i="13"/>
  <c r="L63" i="13" s="1"/>
  <c r="L42" i="13"/>
  <c r="K43" i="13" s="1"/>
  <c r="J48" i="6"/>
  <c r="M51" i="13"/>
  <c r="L51" i="13" s="1"/>
  <c r="M71" i="13"/>
  <c r="M92" i="13"/>
  <c r="L50" i="13"/>
  <c r="M47" i="13"/>
  <c r="M46" i="13"/>
  <c r="M86" i="13"/>
  <c r="M65" i="13"/>
  <c r="L45" i="13"/>
  <c r="L44" i="13"/>
  <c r="I36" i="6"/>
  <c r="L91" i="13"/>
  <c r="L85" i="13"/>
  <c r="K50" i="13"/>
  <c r="K44" i="13"/>
  <c r="M20" i="13"/>
  <c r="M21" i="13"/>
  <c r="N21" i="13" s="1"/>
  <c r="O21" i="13" s="1"/>
  <c r="P21" i="13" s="1"/>
  <c r="Q21" i="13" s="1"/>
  <c r="R21" i="13" s="1"/>
  <c r="J54" i="6"/>
  <c r="J39" i="6"/>
  <c r="J51" i="6"/>
  <c r="I52" i="6" s="1"/>
  <c r="J55" i="6"/>
  <c r="I56" i="6" s="1"/>
  <c r="J53" i="6"/>
  <c r="I54" i="6" s="1"/>
  <c r="J50" i="6"/>
  <c r="I38" i="6"/>
  <c r="H38" i="6" s="1"/>
  <c r="H37" i="6"/>
  <c r="J32" i="6"/>
  <c r="I33" i="6" s="1"/>
  <c r="J26" i="12"/>
  <c r="I30" i="12"/>
  <c r="J28" i="12"/>
  <c r="J25" i="12"/>
  <c r="J23" i="12"/>
  <c r="J24" i="12"/>
  <c r="J27" i="12"/>
  <c r="J31" i="12"/>
  <c r="J29" i="12"/>
  <c r="H28" i="11"/>
  <c r="H27" i="11"/>
  <c r="H30" i="11"/>
  <c r="H29" i="11"/>
  <c r="H31" i="11"/>
  <c r="H26" i="11"/>
  <c r="H25" i="11"/>
  <c r="O49" i="8"/>
  <c r="O50" i="8"/>
  <c r="O51" i="8"/>
  <c r="M26" i="8"/>
  <c r="N26" i="8" s="1"/>
  <c r="O26" i="8" s="1"/>
  <c r="P26" i="8" s="1"/>
  <c r="Q26" i="8" s="1"/>
  <c r="Q46" i="8" s="1"/>
  <c r="P47" i="8" s="1"/>
  <c r="O48" i="8" s="1"/>
  <c r="I25" i="8"/>
  <c r="J25" i="8" s="1"/>
  <c r="K25" i="8" s="1"/>
  <c r="L25" i="8" s="1"/>
  <c r="I24" i="8"/>
  <c r="J39" i="7"/>
  <c r="I40" i="7" s="1"/>
  <c r="H41" i="7" s="1"/>
  <c r="J34" i="6"/>
  <c r="I49" i="6"/>
  <c r="J40" i="6"/>
  <c r="H20" i="7"/>
  <c r="H21" i="7"/>
  <c r="I21" i="7" s="1"/>
  <c r="J21" i="7" s="1"/>
  <c r="K21" i="7" s="1"/>
  <c r="L21" i="7" s="1"/>
  <c r="L36" i="7" s="1"/>
  <c r="K37" i="7" s="1"/>
  <c r="J38" i="7" s="1"/>
  <c r="L84" i="13" l="1"/>
  <c r="K85" i="13" s="1"/>
  <c r="K64" i="13"/>
  <c r="J45" i="13"/>
  <c r="K45" i="13"/>
  <c r="K46" i="13"/>
  <c r="L66" i="13"/>
  <c r="L65" i="13"/>
  <c r="M93" i="13"/>
  <c r="M72" i="13"/>
  <c r="L72" i="13" s="1"/>
  <c r="L93" i="13" s="1"/>
  <c r="L71" i="13"/>
  <c r="M89" i="13"/>
  <c r="M68" i="13"/>
  <c r="L69" i="13" s="1"/>
  <c r="L48" i="13"/>
  <c r="K49" i="13" s="1"/>
  <c r="J50" i="13" s="1"/>
  <c r="M88" i="13"/>
  <c r="L47" i="13"/>
  <c r="K48" i="13" s="1"/>
  <c r="J49" i="13" s="1"/>
  <c r="I50" i="13" s="1"/>
  <c r="M67" i="13"/>
  <c r="L46" i="13"/>
  <c r="J44" i="13"/>
  <c r="I45" i="13" s="1"/>
  <c r="K51" i="13"/>
  <c r="J51" i="13" s="1"/>
  <c r="N19" i="13"/>
  <c r="N20" i="13"/>
  <c r="O20" i="13" s="1"/>
  <c r="P20" i="13" s="1"/>
  <c r="Q20" i="13" s="1"/>
  <c r="R20" i="13" s="1"/>
  <c r="G38" i="6"/>
  <c r="I51" i="6"/>
  <c r="H52" i="6" s="1"/>
  <c r="I50" i="6"/>
  <c r="H50" i="6" s="1"/>
  <c r="I55" i="6"/>
  <c r="H56" i="6" s="1"/>
  <c r="I53" i="6"/>
  <c r="H54" i="6" s="1"/>
  <c r="K25" i="12"/>
  <c r="J30" i="12"/>
  <c r="K31" i="12"/>
  <c r="K24" i="12"/>
  <c r="K28" i="12"/>
  <c r="K26" i="12"/>
  <c r="K29" i="12"/>
  <c r="K27" i="12"/>
  <c r="K22" i="12"/>
  <c r="K23" i="12"/>
  <c r="I26" i="11"/>
  <c r="I29" i="11"/>
  <c r="I27" i="11"/>
  <c r="I30" i="11"/>
  <c r="I28" i="11"/>
  <c r="I31" i="11"/>
  <c r="I25" i="11"/>
  <c r="I24" i="11"/>
  <c r="N51" i="8"/>
  <c r="N49" i="8"/>
  <c r="N50" i="8"/>
  <c r="M25" i="8"/>
  <c r="N25" i="8" s="1"/>
  <c r="O25" i="8" s="1"/>
  <c r="P25" i="8" s="1"/>
  <c r="Q25" i="8" s="1"/>
  <c r="Q45" i="8" s="1"/>
  <c r="P46" i="8" s="1"/>
  <c r="O47" i="8" s="1"/>
  <c r="N48" i="8" s="1"/>
  <c r="J23" i="8"/>
  <c r="J24" i="8"/>
  <c r="K24" i="8" s="1"/>
  <c r="L24" i="8" s="1"/>
  <c r="I39" i="7"/>
  <c r="H40" i="7" s="1"/>
  <c r="G41" i="7" s="1"/>
  <c r="I35" i="6"/>
  <c r="H36" i="6" s="1"/>
  <c r="G37" i="6" s="1"/>
  <c r="F38" i="6" s="1"/>
  <c r="I34" i="6"/>
  <c r="I40" i="6"/>
  <c r="I39" i="6"/>
  <c r="I19" i="7"/>
  <c r="I20" i="7"/>
  <c r="J20" i="7" s="1"/>
  <c r="K20" i="7" s="1"/>
  <c r="L20" i="7" s="1"/>
  <c r="L35" i="7" s="1"/>
  <c r="K36" i="7" s="1"/>
  <c r="J37" i="7" s="1"/>
  <c r="I38" i="7" s="1"/>
  <c r="L86" i="13" l="1"/>
  <c r="K87" i="13" s="1"/>
  <c r="K65" i="13"/>
  <c r="I51" i="13"/>
  <c r="H51" i="13" s="1"/>
  <c r="G51" i="13" s="1"/>
  <c r="K66" i="13"/>
  <c r="L87" i="13"/>
  <c r="K70" i="13"/>
  <c r="J71" i="13" s="1"/>
  <c r="L90" i="13"/>
  <c r="J47" i="13"/>
  <c r="I48" i="13" s="1"/>
  <c r="H49" i="13" s="1"/>
  <c r="G50" i="13" s="1"/>
  <c r="F51" i="13" s="1"/>
  <c r="L92" i="13"/>
  <c r="K72" i="13"/>
  <c r="K71" i="13"/>
  <c r="K47" i="13"/>
  <c r="J48" i="13" s="1"/>
  <c r="I49" i="13" s="1"/>
  <c r="H50" i="13" s="1"/>
  <c r="J46" i="13"/>
  <c r="I47" i="13" s="1"/>
  <c r="H48" i="13" s="1"/>
  <c r="G49" i="13" s="1"/>
  <c r="F50" i="13" s="1"/>
  <c r="E51" i="13" s="1"/>
  <c r="L68" i="13"/>
  <c r="L67" i="13"/>
  <c r="K67" i="13" s="1"/>
  <c r="J65" i="13"/>
  <c r="O19" i="13"/>
  <c r="P19" i="13" s="1"/>
  <c r="Q19" i="13" s="1"/>
  <c r="R19" i="13" s="1"/>
  <c r="O18" i="13"/>
  <c r="H55" i="6"/>
  <c r="G56" i="6" s="1"/>
  <c r="H51" i="6"/>
  <c r="G51" i="6" s="1"/>
  <c r="H53" i="6"/>
  <c r="G54" i="6" s="1"/>
  <c r="L27" i="12"/>
  <c r="L26" i="12"/>
  <c r="L24" i="12"/>
  <c r="K30" i="12"/>
  <c r="L23" i="12"/>
  <c r="L21" i="12"/>
  <c r="L22" i="12"/>
  <c r="L29" i="12"/>
  <c r="L28" i="12"/>
  <c r="L31" i="12"/>
  <c r="L25" i="12"/>
  <c r="J30" i="11"/>
  <c r="J29" i="11"/>
  <c r="J25" i="11"/>
  <c r="J28" i="11"/>
  <c r="J27" i="11"/>
  <c r="J26" i="11"/>
  <c r="J31" i="11"/>
  <c r="J24" i="11"/>
  <c r="J23" i="11"/>
  <c r="M49" i="8"/>
  <c r="M50" i="8"/>
  <c r="M51" i="8"/>
  <c r="M24" i="8"/>
  <c r="N24" i="8" s="1"/>
  <c r="O24" i="8" s="1"/>
  <c r="P24" i="8" s="1"/>
  <c r="Q24" i="8" s="1"/>
  <c r="Q44" i="8" s="1"/>
  <c r="P45" i="8" s="1"/>
  <c r="O46" i="8" s="1"/>
  <c r="N47" i="8" s="1"/>
  <c r="M48" i="8" s="1"/>
  <c r="K23" i="8"/>
  <c r="L23" i="8" s="1"/>
  <c r="K22" i="8"/>
  <c r="H39" i="7"/>
  <c r="G40" i="7" s="1"/>
  <c r="F41" i="7" s="1"/>
  <c r="H35" i="6"/>
  <c r="G36" i="6" s="1"/>
  <c r="F37" i="6" s="1"/>
  <c r="E38" i="6" s="1"/>
  <c r="H34" i="6"/>
  <c r="G52" i="6"/>
  <c r="H40" i="6"/>
  <c r="H39" i="6"/>
  <c r="J18" i="7"/>
  <c r="J19" i="7"/>
  <c r="K19" i="7" s="1"/>
  <c r="L19" i="7" s="1"/>
  <c r="L34" i="7" s="1"/>
  <c r="K35" i="7" s="1"/>
  <c r="J36" i="7" s="1"/>
  <c r="I37" i="7" s="1"/>
  <c r="H38" i="7" s="1"/>
  <c r="J86" i="13" l="1"/>
  <c r="L89" i="13"/>
  <c r="K69" i="13"/>
  <c r="J70" i="13" s="1"/>
  <c r="I71" i="13" s="1"/>
  <c r="K91" i="13"/>
  <c r="J72" i="13"/>
  <c r="I72" i="13" s="1"/>
  <c r="K92" i="13"/>
  <c r="J67" i="13"/>
  <c r="I66" i="13"/>
  <c r="I46" i="13"/>
  <c r="K93" i="13"/>
  <c r="J66" i="13"/>
  <c r="K86" i="13"/>
  <c r="L88" i="13"/>
  <c r="K89" i="13" s="1"/>
  <c r="K68" i="13"/>
  <c r="J69" i="13" s="1"/>
  <c r="P18" i="13"/>
  <c r="Q18" i="13" s="1"/>
  <c r="R18" i="13" s="1"/>
  <c r="P17" i="13"/>
  <c r="G55" i="6"/>
  <c r="F56" i="6" s="1"/>
  <c r="G53" i="6"/>
  <c r="F54" i="6" s="1"/>
  <c r="G35" i="6"/>
  <c r="F36" i="6" s="1"/>
  <c r="E37" i="6" s="1"/>
  <c r="D38" i="6" s="1"/>
  <c r="M20" i="12"/>
  <c r="M21" i="12"/>
  <c r="L30" i="12"/>
  <c r="M26" i="12"/>
  <c r="M31" i="12"/>
  <c r="M29" i="12"/>
  <c r="M23" i="12"/>
  <c r="M24" i="12"/>
  <c r="M27" i="12"/>
  <c r="M25" i="12"/>
  <c r="M28" i="12"/>
  <c r="M22" i="12"/>
  <c r="K24" i="11"/>
  <c r="K26" i="11"/>
  <c r="K28" i="11"/>
  <c r="K29" i="11"/>
  <c r="K27" i="11"/>
  <c r="K25" i="11"/>
  <c r="K30" i="11"/>
  <c r="K31" i="11"/>
  <c r="K23" i="11"/>
  <c r="K22" i="11"/>
  <c r="L50" i="8"/>
  <c r="L49" i="8"/>
  <c r="L51" i="8"/>
  <c r="M23" i="8"/>
  <c r="N23" i="8" s="1"/>
  <c r="O23" i="8" s="1"/>
  <c r="P23" i="8" s="1"/>
  <c r="Q23" i="8" s="1"/>
  <c r="Q43" i="8" s="1"/>
  <c r="P44" i="8" s="1"/>
  <c r="O45" i="8" s="1"/>
  <c r="N46" i="8" s="1"/>
  <c r="M47" i="8" s="1"/>
  <c r="L48" i="8" s="1"/>
  <c r="L21" i="8"/>
  <c r="L22" i="8"/>
  <c r="G39" i="7"/>
  <c r="F40" i="7" s="1"/>
  <c r="E41" i="7" s="1"/>
  <c r="G40" i="6"/>
  <c r="G39" i="6"/>
  <c r="F52" i="6"/>
  <c r="K17" i="7"/>
  <c r="K18" i="7"/>
  <c r="L18" i="7" s="1"/>
  <c r="L33" i="7" s="1"/>
  <c r="K34" i="7" s="1"/>
  <c r="J35" i="7" s="1"/>
  <c r="I36" i="7" s="1"/>
  <c r="H37" i="7" s="1"/>
  <c r="G38" i="7" s="1"/>
  <c r="J87" i="13" l="1"/>
  <c r="I67" i="13"/>
  <c r="H68" i="13" s="1"/>
  <c r="K88" i="13"/>
  <c r="J93" i="13"/>
  <c r="H47" i="13"/>
  <c r="G48" i="13" s="1"/>
  <c r="F49" i="13" s="1"/>
  <c r="E50" i="13" s="1"/>
  <c r="D51" i="13" s="1"/>
  <c r="H46" i="13"/>
  <c r="G47" i="13" s="1"/>
  <c r="F48" i="13" s="1"/>
  <c r="E49" i="13" s="1"/>
  <c r="D50" i="13" s="1"/>
  <c r="C51" i="13" s="1"/>
  <c r="J92" i="13"/>
  <c r="I87" i="13"/>
  <c r="H72" i="13"/>
  <c r="J88" i="13"/>
  <c r="I68" i="13"/>
  <c r="H69" i="13" s="1"/>
  <c r="K90" i="13"/>
  <c r="J91" i="13" s="1"/>
  <c r="I92" i="13" s="1"/>
  <c r="I70" i="13"/>
  <c r="H71" i="13" s="1"/>
  <c r="G72" i="13" s="1"/>
  <c r="J68" i="13"/>
  <c r="I69" i="13" s="1"/>
  <c r="Q16" i="13"/>
  <c r="Q17" i="13"/>
  <c r="R17" i="13" s="1"/>
  <c r="F55" i="6"/>
  <c r="E56" i="6" s="1"/>
  <c r="F53" i="6"/>
  <c r="E54" i="6" s="1"/>
  <c r="N22" i="12"/>
  <c r="N25" i="12"/>
  <c r="N24" i="12"/>
  <c r="N29" i="12"/>
  <c r="N26" i="12"/>
  <c r="N21" i="12"/>
  <c r="N19" i="12"/>
  <c r="N20" i="12"/>
  <c r="N28" i="12"/>
  <c r="N27" i="12"/>
  <c r="N23" i="12"/>
  <c r="N31" i="12"/>
  <c r="M30" i="12"/>
  <c r="L25" i="11"/>
  <c r="L29" i="11"/>
  <c r="L26" i="11"/>
  <c r="L23" i="11"/>
  <c r="L30" i="11"/>
  <c r="L27" i="11"/>
  <c r="L28" i="11"/>
  <c r="L24" i="11"/>
  <c r="L31" i="11"/>
  <c r="L22" i="11"/>
  <c r="L21" i="11"/>
  <c r="K50" i="8"/>
  <c r="K51" i="8"/>
  <c r="K49" i="8"/>
  <c r="M22" i="8"/>
  <c r="N22" i="8" s="1"/>
  <c r="O22" i="8" s="1"/>
  <c r="P22" i="8" s="1"/>
  <c r="Q22" i="8" s="1"/>
  <c r="Q42" i="8" s="1"/>
  <c r="P43" i="8" s="1"/>
  <c r="O44" i="8" s="1"/>
  <c r="N45" i="8" s="1"/>
  <c r="M46" i="8" s="1"/>
  <c r="L47" i="8" s="1"/>
  <c r="K48" i="8" s="1"/>
  <c r="M21" i="8"/>
  <c r="N21" i="8" s="1"/>
  <c r="O21" i="8" s="1"/>
  <c r="P21" i="8" s="1"/>
  <c r="M20" i="8"/>
  <c r="F39" i="7"/>
  <c r="E40" i="7" s="1"/>
  <c r="D41" i="7" s="1"/>
  <c r="F40" i="6"/>
  <c r="F39" i="6"/>
  <c r="L16" i="7"/>
  <c r="L31" i="7" s="1"/>
  <c r="L17" i="7"/>
  <c r="L32" i="7" s="1"/>
  <c r="K33" i="7" s="1"/>
  <c r="J34" i="7" s="1"/>
  <c r="I35" i="7" s="1"/>
  <c r="H36" i="7" s="1"/>
  <c r="G37" i="7" s="1"/>
  <c r="F38" i="7" s="1"/>
  <c r="H70" i="13" l="1"/>
  <c r="G71" i="13" s="1"/>
  <c r="F72" i="13" s="1"/>
  <c r="H67" i="13"/>
  <c r="G68" i="13" s="1"/>
  <c r="F69" i="13" s="1"/>
  <c r="J90" i="13"/>
  <c r="I91" i="13" s="1"/>
  <c r="H92" i="13" s="1"/>
  <c r="G70" i="13"/>
  <c r="F71" i="13" s="1"/>
  <c r="E72" i="13" s="1"/>
  <c r="I93" i="13"/>
  <c r="H93" i="13" s="1"/>
  <c r="J89" i="13"/>
  <c r="I90" i="13" s="1"/>
  <c r="H91" i="13" s="1"/>
  <c r="G92" i="13" s="1"/>
  <c r="G69" i="13"/>
  <c r="I88" i="13"/>
  <c r="R15" i="13"/>
  <c r="R16" i="13"/>
  <c r="E55" i="6"/>
  <c r="D56" i="6" s="1"/>
  <c r="E53" i="6"/>
  <c r="D54" i="6" s="1"/>
  <c r="O21" i="12"/>
  <c r="O29" i="12"/>
  <c r="O25" i="12"/>
  <c r="O31" i="12"/>
  <c r="O27" i="12"/>
  <c r="O20" i="12"/>
  <c r="O19" i="12"/>
  <c r="O18" i="12"/>
  <c r="O26" i="12"/>
  <c r="O24" i="12"/>
  <c r="O22" i="12"/>
  <c r="N30" i="12"/>
  <c r="O23" i="12"/>
  <c r="O28" i="12"/>
  <c r="M28" i="11"/>
  <c r="M30" i="11"/>
  <c r="M26" i="11"/>
  <c r="M25" i="11"/>
  <c r="M22" i="11"/>
  <c r="M24" i="11"/>
  <c r="M27" i="11"/>
  <c r="M23" i="11"/>
  <c r="M29" i="11"/>
  <c r="M31" i="11"/>
  <c r="M21" i="11"/>
  <c r="M20" i="11"/>
  <c r="J50" i="8"/>
  <c r="J51" i="8"/>
  <c r="J49" i="8"/>
  <c r="Q21" i="8"/>
  <c r="Q41" i="8" s="1"/>
  <c r="P42" i="8" s="1"/>
  <c r="O43" i="8" s="1"/>
  <c r="N44" i="8" s="1"/>
  <c r="M45" i="8" s="1"/>
  <c r="L46" i="8" s="1"/>
  <c r="K47" i="8" s="1"/>
  <c r="J48" i="8" s="1"/>
  <c r="N19" i="8"/>
  <c r="N20" i="8"/>
  <c r="O20" i="8" s="1"/>
  <c r="P20" i="8" s="1"/>
  <c r="Q20" i="8" s="1"/>
  <c r="Q40" i="8" s="1"/>
  <c r="E39" i="7"/>
  <c r="D40" i="7" s="1"/>
  <c r="C41" i="7" s="1"/>
  <c r="K32" i="7"/>
  <c r="J33" i="7" s="1"/>
  <c r="I34" i="7" s="1"/>
  <c r="H35" i="7" s="1"/>
  <c r="G36" i="7" s="1"/>
  <c r="F37" i="7" s="1"/>
  <c r="E38" i="7" s="1"/>
  <c r="E40" i="6"/>
  <c r="E39" i="6"/>
  <c r="E70" i="13" l="1"/>
  <c r="I89" i="13"/>
  <c r="H90" i="13" s="1"/>
  <c r="G91" i="13" s="1"/>
  <c r="F92" i="13" s="1"/>
  <c r="H89" i="13"/>
  <c r="G90" i="13" s="1"/>
  <c r="H88" i="13"/>
  <c r="G89" i="13" s="1"/>
  <c r="G93" i="13"/>
  <c r="F93" i="13" s="1"/>
  <c r="E93" i="13" s="1"/>
  <c r="F70" i="13"/>
  <c r="D55" i="6"/>
  <c r="C56" i="6" s="1"/>
  <c r="P31" i="12"/>
  <c r="P28" i="12"/>
  <c r="O30" i="12"/>
  <c r="P24" i="12"/>
  <c r="P17" i="12"/>
  <c r="P18" i="12"/>
  <c r="P20" i="12"/>
  <c r="P29" i="12"/>
  <c r="P19" i="12"/>
  <c r="P27" i="12"/>
  <c r="P25" i="12"/>
  <c r="P21" i="12"/>
  <c r="P23" i="12"/>
  <c r="P22" i="12"/>
  <c r="P26" i="12"/>
  <c r="N23" i="11"/>
  <c r="N24" i="11"/>
  <c r="N25" i="11"/>
  <c r="N30" i="11"/>
  <c r="N21" i="11"/>
  <c r="N29" i="11"/>
  <c r="N27" i="11"/>
  <c r="N22" i="11"/>
  <c r="N26" i="11"/>
  <c r="N28" i="11"/>
  <c r="N31" i="11"/>
  <c r="N20" i="11"/>
  <c r="N19" i="11"/>
  <c r="I51" i="8"/>
  <c r="I50" i="8"/>
  <c r="I49" i="8"/>
  <c r="P41" i="8"/>
  <c r="O42" i="8" s="1"/>
  <c r="N43" i="8" s="1"/>
  <c r="M44" i="8" s="1"/>
  <c r="L45" i="8" s="1"/>
  <c r="K46" i="8" s="1"/>
  <c r="J47" i="8" s="1"/>
  <c r="I48" i="8" s="1"/>
  <c r="O19" i="8"/>
  <c r="P19" i="8" s="1"/>
  <c r="Q19" i="8" s="1"/>
  <c r="Q39" i="8" s="1"/>
  <c r="P40" i="8" s="1"/>
  <c r="O18" i="8"/>
  <c r="D39" i="7"/>
  <c r="C40" i="7" s="1"/>
  <c r="B41" i="7" s="1"/>
  <c r="D40" i="6"/>
  <c r="D39" i="6"/>
  <c r="F90" i="13" l="1"/>
  <c r="E91" i="13" s="1"/>
  <c r="D71" i="13"/>
  <c r="C72" i="13" s="1"/>
  <c r="F91" i="13"/>
  <c r="E71" i="13"/>
  <c r="D72" i="13" s="1"/>
  <c r="C55" i="6"/>
  <c r="B56" i="6" s="1"/>
  <c r="Q17" i="12"/>
  <c r="Q37" i="12" s="1"/>
  <c r="Q16" i="12"/>
  <c r="Q36" i="12" s="1"/>
  <c r="Q31" i="12"/>
  <c r="Q51" i="12" s="1"/>
  <c r="Q26" i="12"/>
  <c r="Q46" i="12" s="1"/>
  <c r="Q24" i="12"/>
  <c r="Q44" i="12" s="1"/>
  <c r="Q28" i="12"/>
  <c r="Q48" i="12" s="1"/>
  <c r="Q22" i="12"/>
  <c r="Q42" i="12" s="1"/>
  <c r="Q21" i="12"/>
  <c r="Q41" i="12" s="1"/>
  <c r="Q27" i="12"/>
  <c r="Q47" i="12" s="1"/>
  <c r="Q29" i="12"/>
  <c r="Q49" i="12" s="1"/>
  <c r="Q18" i="12"/>
  <c r="Q38" i="12" s="1"/>
  <c r="P30" i="12"/>
  <c r="Q23" i="12"/>
  <c r="Q43" i="12" s="1"/>
  <c r="Q25" i="12"/>
  <c r="Q45" i="12" s="1"/>
  <c r="Q19" i="12"/>
  <c r="Q39" i="12" s="1"/>
  <c r="P39" i="12" s="1"/>
  <c r="Q20" i="12"/>
  <c r="Q40" i="12" s="1"/>
  <c r="O20" i="11"/>
  <c r="O28" i="11"/>
  <c r="O22" i="11"/>
  <c r="O29" i="11"/>
  <c r="O30" i="11"/>
  <c r="O24" i="11"/>
  <c r="O26" i="11"/>
  <c r="O27" i="11"/>
  <c r="O21" i="11"/>
  <c r="O25" i="11"/>
  <c r="O23" i="11"/>
  <c r="H51" i="8"/>
  <c r="O31" i="11"/>
  <c r="O19" i="11"/>
  <c r="O18" i="11"/>
  <c r="H50" i="8"/>
  <c r="H49" i="8"/>
  <c r="O41" i="8"/>
  <c r="N42" i="8" s="1"/>
  <c r="M43" i="8" s="1"/>
  <c r="L44" i="8" s="1"/>
  <c r="K45" i="8" s="1"/>
  <c r="J46" i="8" s="1"/>
  <c r="I47" i="8" s="1"/>
  <c r="H48" i="8" s="1"/>
  <c r="P17" i="8"/>
  <c r="P18" i="8"/>
  <c r="Q18" i="8" s="1"/>
  <c r="Q38" i="8" s="1"/>
  <c r="P39" i="8" s="1"/>
  <c r="O40" i="8" s="1"/>
  <c r="C40" i="6"/>
  <c r="C39" i="6"/>
  <c r="E92" i="13" l="1"/>
  <c r="D93" i="13" s="1"/>
  <c r="P45" i="12"/>
  <c r="P37" i="12"/>
  <c r="P43" i="12"/>
  <c r="P47" i="12"/>
  <c r="P38" i="12"/>
  <c r="B40" i="6"/>
  <c r="P42" i="12"/>
  <c r="P41" i="12"/>
  <c r="G50" i="8"/>
  <c r="P48" i="12"/>
  <c r="P49" i="12"/>
  <c r="P46" i="12"/>
  <c r="P40" i="12"/>
  <c r="P44" i="12"/>
  <c r="Q30" i="12"/>
  <c r="Q50" i="12" s="1"/>
  <c r="P51" i="12" s="1"/>
  <c r="P19" i="11"/>
  <c r="Q19" i="11" s="1"/>
  <c r="Q39" i="11" s="1"/>
  <c r="P25" i="11"/>
  <c r="P27" i="11"/>
  <c r="P24" i="11"/>
  <c r="P29" i="11"/>
  <c r="P28" i="11"/>
  <c r="G51" i="8"/>
  <c r="P23" i="11"/>
  <c r="P21" i="11"/>
  <c r="P26" i="11"/>
  <c r="P30" i="11"/>
  <c r="P22" i="11"/>
  <c r="P20" i="11"/>
  <c r="P31" i="11"/>
  <c r="Q31" i="11" s="1"/>
  <c r="Q51" i="11" s="1"/>
  <c r="P18" i="11"/>
  <c r="P17" i="11"/>
  <c r="G49" i="8"/>
  <c r="N41" i="8"/>
  <c r="M42" i="8" s="1"/>
  <c r="L43" i="8" s="1"/>
  <c r="K44" i="8" s="1"/>
  <c r="J45" i="8" s="1"/>
  <c r="I46" i="8" s="1"/>
  <c r="H47" i="8" s="1"/>
  <c r="G48" i="8" s="1"/>
  <c r="Q17" i="8"/>
  <c r="Q37" i="8" s="1"/>
  <c r="P38" i="8" s="1"/>
  <c r="O39" i="8" s="1"/>
  <c r="N40" i="8" s="1"/>
  <c r="Q16" i="8"/>
  <c r="Q36" i="8" s="1"/>
  <c r="D92" i="13" l="1"/>
  <c r="C93" i="13" s="1"/>
  <c r="O43" i="12"/>
  <c r="O45" i="12"/>
  <c r="O46" i="12"/>
  <c r="O38" i="12"/>
  <c r="O49" i="12"/>
  <c r="O39" i="12"/>
  <c r="O48" i="12"/>
  <c r="O41" i="12"/>
  <c r="O42" i="12"/>
  <c r="F51" i="8"/>
  <c r="O44" i="12"/>
  <c r="F50" i="8"/>
  <c r="O47" i="12"/>
  <c r="O40" i="12"/>
  <c r="P50" i="12"/>
  <c r="Q22" i="11"/>
  <c r="Q42" i="11" s="1"/>
  <c r="Q26" i="11"/>
  <c r="Q46" i="11" s="1"/>
  <c r="Q23" i="11"/>
  <c r="Q43" i="11" s="1"/>
  <c r="Q28" i="11"/>
  <c r="Q48" i="11" s="1"/>
  <c r="Q24" i="11"/>
  <c r="Q44" i="11" s="1"/>
  <c r="Q25" i="11"/>
  <c r="Q45" i="11" s="1"/>
  <c r="Q20" i="11"/>
  <c r="Q40" i="11" s="1"/>
  <c r="P40" i="11" s="1"/>
  <c r="Q30" i="11"/>
  <c r="Q50" i="11" s="1"/>
  <c r="P51" i="11" s="1"/>
  <c r="Q21" i="11"/>
  <c r="Q41" i="11" s="1"/>
  <c r="Q29" i="11"/>
  <c r="Q49" i="11" s="1"/>
  <c r="Q27" i="11"/>
  <c r="Q47" i="11" s="1"/>
  <c r="Q18" i="11"/>
  <c r="Q38" i="11" s="1"/>
  <c r="P39" i="11" s="1"/>
  <c r="Q17" i="11"/>
  <c r="Q37" i="11" s="1"/>
  <c r="Q16" i="11"/>
  <c r="Q36" i="11" s="1"/>
  <c r="F49" i="8"/>
  <c r="P37" i="8"/>
  <c r="O38" i="8" s="1"/>
  <c r="N39" i="8" s="1"/>
  <c r="M40" i="8" s="1"/>
  <c r="M41" i="8"/>
  <c r="L42" i="8" s="1"/>
  <c r="K43" i="8" s="1"/>
  <c r="J44" i="8" s="1"/>
  <c r="I45" i="8" s="1"/>
  <c r="H46" i="8" s="1"/>
  <c r="G47" i="8" s="1"/>
  <c r="F48" i="8" s="1"/>
  <c r="N43" i="12" l="1"/>
  <c r="N46" i="12"/>
  <c r="N45" i="12"/>
  <c r="P46" i="11"/>
  <c r="N39" i="12"/>
  <c r="N49" i="12"/>
  <c r="N48" i="12"/>
  <c r="E51" i="8"/>
  <c r="N42" i="12"/>
  <c r="N41" i="12"/>
  <c r="N44" i="12"/>
  <c r="E50" i="8"/>
  <c r="D51" i="8" s="1"/>
  <c r="N40" i="12"/>
  <c r="N47" i="12"/>
  <c r="O51" i="12"/>
  <c r="O50" i="12"/>
  <c r="P37" i="11"/>
  <c r="P38" i="11"/>
  <c r="O39" i="11" s="1"/>
  <c r="P48" i="11"/>
  <c r="P47" i="11"/>
  <c r="P41" i="11"/>
  <c r="O41" i="11" s="1"/>
  <c r="P42" i="11"/>
  <c r="P45" i="11"/>
  <c r="P50" i="11"/>
  <c r="O51" i="11" s="1"/>
  <c r="O40" i="11"/>
  <c r="P44" i="11"/>
  <c r="P43" i="11"/>
  <c r="P49" i="11"/>
  <c r="E49" i="8"/>
  <c r="L41" i="8"/>
  <c r="K42" i="8" s="1"/>
  <c r="J43" i="8" s="1"/>
  <c r="I44" i="8" s="1"/>
  <c r="H45" i="8" s="1"/>
  <c r="G46" i="8" s="1"/>
  <c r="F47" i="8" s="1"/>
  <c r="E48" i="8" s="1"/>
  <c r="O46" i="11" l="1"/>
  <c r="M43" i="12"/>
  <c r="M46" i="12"/>
  <c r="M45" i="12"/>
  <c r="O47" i="11"/>
  <c r="N47" i="11" s="1"/>
  <c r="M49" i="12"/>
  <c r="D50" i="8"/>
  <c r="C51" i="8" s="1"/>
  <c r="M42" i="12"/>
  <c r="M44" i="12"/>
  <c r="M41" i="12"/>
  <c r="M40" i="12"/>
  <c r="M48" i="12"/>
  <c r="M47" i="12"/>
  <c r="O42" i="11"/>
  <c r="N42" i="11" s="1"/>
  <c r="N51" i="12"/>
  <c r="N50" i="12"/>
  <c r="O45" i="11"/>
  <c r="N46" i="11" s="1"/>
  <c r="O38" i="11"/>
  <c r="N39" i="11" s="1"/>
  <c r="O48" i="11"/>
  <c r="O44" i="11"/>
  <c r="N41" i="11"/>
  <c r="O50" i="11"/>
  <c r="N51" i="11" s="1"/>
  <c r="N40" i="11"/>
  <c r="O49" i="11"/>
  <c r="O43" i="11"/>
  <c r="D49" i="8"/>
  <c r="L43" i="12" l="1"/>
  <c r="L46" i="12"/>
  <c r="C50" i="8"/>
  <c r="B51" i="8" s="1"/>
  <c r="L45" i="12"/>
  <c r="N48" i="11"/>
  <c r="L49" i="12"/>
  <c r="L42" i="12"/>
  <c r="L41" i="12"/>
  <c r="L44" i="12"/>
  <c r="M47" i="11"/>
  <c r="L47" i="12"/>
  <c r="L48" i="12"/>
  <c r="M48" i="11"/>
  <c r="M42" i="11"/>
  <c r="M51" i="12"/>
  <c r="M50" i="12"/>
  <c r="N45" i="11"/>
  <c r="M46" i="11" s="1"/>
  <c r="N44" i="11"/>
  <c r="N50" i="11"/>
  <c r="M51" i="11" s="1"/>
  <c r="N43" i="11"/>
  <c r="M43" i="11" s="1"/>
  <c r="M41" i="11"/>
  <c r="M40" i="11"/>
  <c r="N49" i="11"/>
  <c r="K43" i="12" l="1"/>
  <c r="K46" i="12"/>
  <c r="K45" i="12"/>
  <c r="K49" i="12"/>
  <c r="K42" i="12"/>
  <c r="J43" i="12" s="1"/>
  <c r="K44" i="12"/>
  <c r="M45" i="11"/>
  <c r="L46" i="11" s="1"/>
  <c r="L42" i="11"/>
  <c r="L47" i="11"/>
  <c r="L48" i="11"/>
  <c r="K48" i="12"/>
  <c r="K47" i="12"/>
  <c r="L51" i="12"/>
  <c r="L50" i="12"/>
  <c r="M44" i="11"/>
  <c r="L44" i="11" s="1"/>
  <c r="M50" i="11"/>
  <c r="L51" i="11" s="1"/>
  <c r="L41" i="11"/>
  <c r="M49" i="11"/>
  <c r="L49" i="11" s="1"/>
  <c r="L43" i="11"/>
  <c r="J46" i="12" l="1"/>
  <c r="J45" i="12"/>
  <c r="J49" i="12"/>
  <c r="K48" i="11"/>
  <c r="J44" i="12"/>
  <c r="K47" i="11"/>
  <c r="L45" i="11"/>
  <c r="K46" i="11" s="1"/>
  <c r="K42" i="11"/>
  <c r="J47" i="12"/>
  <c r="J48" i="12"/>
  <c r="K51" i="12"/>
  <c r="K50" i="12"/>
  <c r="L50" i="11"/>
  <c r="K51" i="11" s="1"/>
  <c r="K49" i="11"/>
  <c r="K44" i="11"/>
  <c r="K43" i="11"/>
  <c r="I46" i="12" l="1"/>
  <c r="I45" i="12"/>
  <c r="I49" i="12"/>
  <c r="J48" i="11"/>
  <c r="K45" i="11"/>
  <c r="J45" i="11" s="1"/>
  <c r="I44" i="12"/>
  <c r="J47" i="11"/>
  <c r="I48" i="12"/>
  <c r="I47" i="12"/>
  <c r="J51" i="12"/>
  <c r="J50" i="12"/>
  <c r="K50" i="11"/>
  <c r="J50" i="11" s="1"/>
  <c r="J49" i="11"/>
  <c r="J44" i="11"/>
  <c r="J43" i="11"/>
  <c r="H45" i="12" l="1"/>
  <c r="H46" i="12"/>
  <c r="H49" i="12"/>
  <c r="I49" i="11"/>
  <c r="I48" i="11"/>
  <c r="J46" i="11"/>
  <c r="I47" i="11" s="1"/>
  <c r="H48" i="12"/>
  <c r="H47" i="12"/>
  <c r="I51" i="12"/>
  <c r="I50" i="12"/>
  <c r="I45" i="11"/>
  <c r="J51" i="11"/>
  <c r="I51" i="11" s="1"/>
  <c r="I50" i="11"/>
  <c r="I44" i="11"/>
  <c r="G46" i="12" l="1"/>
  <c r="G49" i="12"/>
  <c r="H49" i="11"/>
  <c r="H48" i="11"/>
  <c r="H50" i="11"/>
  <c r="I46" i="11"/>
  <c r="H47" i="11" s="1"/>
  <c r="G48" i="12"/>
  <c r="G47" i="12"/>
  <c r="H51" i="12"/>
  <c r="H50" i="12"/>
  <c r="H45" i="11"/>
  <c r="H51" i="11"/>
  <c r="F49" i="12" l="1"/>
  <c r="G50" i="11"/>
  <c r="H46" i="11"/>
  <c r="G47" i="11" s="1"/>
  <c r="G48" i="11"/>
  <c r="G49" i="11"/>
  <c r="G51" i="11"/>
  <c r="F47" i="12"/>
  <c r="F48" i="12"/>
  <c r="G51" i="12"/>
  <c r="G50" i="12"/>
  <c r="E49" i="12" l="1"/>
  <c r="F51" i="11"/>
  <c r="F50" i="11"/>
  <c r="G46" i="11"/>
  <c r="F47" i="11" s="1"/>
  <c r="F49" i="11"/>
  <c r="F48" i="11"/>
  <c r="E48" i="12"/>
  <c r="F51" i="12"/>
  <c r="F50" i="12"/>
  <c r="D49" i="12" l="1"/>
  <c r="E51" i="11"/>
  <c r="E50" i="11"/>
  <c r="E48" i="11"/>
  <c r="E49" i="11"/>
  <c r="E51" i="12"/>
  <c r="E50" i="12"/>
  <c r="D50" i="11" l="1"/>
  <c r="D51" i="11"/>
  <c r="D49" i="11"/>
  <c r="D51" i="12"/>
  <c r="D50" i="12"/>
  <c r="C51" i="11" l="1"/>
  <c r="C50" i="11"/>
  <c r="C51" i="12"/>
  <c r="C50" i="12"/>
  <c r="B51" i="11" l="1"/>
  <c r="B51" i="12"/>
</calcChain>
</file>

<file path=xl/comments1.xml><?xml version="1.0" encoding="utf-8"?>
<comments xmlns="http://schemas.openxmlformats.org/spreadsheetml/2006/main">
  <authors>
    <author>mhaugh</author>
  </authors>
  <commentList>
    <comment ref="K2" authorId="0" shape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3.xml><?xml version="1.0" encoding="utf-8"?>
<comments xmlns="http://schemas.openxmlformats.org/spreadsheetml/2006/main">
  <authors>
    <author>mhaugh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4.xml><?xml version="1.0" encoding="utf-8"?>
<comments xmlns="http://schemas.openxmlformats.org/spreadsheetml/2006/main">
  <authors>
    <author>mhaugh</author>
  </authors>
  <commentList>
    <comment ref="I2" authorId="0" shape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5.xml><?xml version="1.0" encoding="utf-8"?>
<comments xmlns="http://schemas.openxmlformats.org/spreadsheetml/2006/main">
  <authors>
    <author>mhaugh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6.xml><?xml version="1.0" encoding="utf-8"?>
<comments xmlns="http://schemas.openxmlformats.org/spreadsheetml/2006/main">
  <authors>
    <author>mhaugh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sharedStrings.xml><?xml version="1.0" encoding="utf-8"?>
<sst xmlns="http://schemas.openxmlformats.org/spreadsheetml/2006/main" count="184" uniqueCount="38">
  <si>
    <t>Lattice Parameters</t>
  </si>
  <si>
    <t>Option Parameters</t>
  </si>
  <si>
    <t>Initial Price</t>
  </si>
  <si>
    <t>Strike</t>
  </si>
  <si>
    <t>T (years)</t>
  </si>
  <si>
    <t>volatility</t>
  </si>
  <si>
    <t># Periods</t>
  </si>
  <si>
    <t>R</t>
  </si>
  <si>
    <t>u</t>
  </si>
  <si>
    <t>d</t>
  </si>
  <si>
    <t>q</t>
  </si>
  <si>
    <t>1-q</t>
  </si>
  <si>
    <t>Stock-Lattice</t>
  </si>
  <si>
    <t>t = 0</t>
  </si>
  <si>
    <t>t = 1</t>
  </si>
  <si>
    <t>t = 2</t>
  </si>
  <si>
    <t>t = 3</t>
  </si>
  <si>
    <t>Option-Lattice</t>
  </si>
  <si>
    <t>Futures Parameters</t>
  </si>
  <si>
    <t>Expiration</t>
  </si>
  <si>
    <t>Call / Put</t>
  </si>
  <si>
    <t>Type</t>
  </si>
  <si>
    <t>European</t>
  </si>
  <si>
    <t>r</t>
  </si>
  <si>
    <t>Div-Yield</t>
  </si>
  <si>
    <t>t = 4</t>
  </si>
  <si>
    <t>t = 5</t>
  </si>
  <si>
    <t>t = 6</t>
  </si>
  <si>
    <t>t = 7</t>
  </si>
  <si>
    <t>t = 8</t>
  </si>
  <si>
    <t>t = 9</t>
  </si>
  <si>
    <t>t = 10</t>
  </si>
  <si>
    <t>Futures-Lattice</t>
  </si>
  <si>
    <t>Share</t>
  </si>
  <si>
    <t>European Option Payoff</t>
  </si>
  <si>
    <t xml:space="preserve"> </t>
  </si>
  <si>
    <t>American</t>
  </si>
  <si>
    <t>Execution-Lattice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</si>
</sst>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General_)"/>
    <numFmt numFmtId="165" formatCode="0.0%"/>
    <numFmt numFmtId="166" formatCode="0.00000"/>
    <numFmt numFmtId="167" formatCode="0.0"/>
    <numFmt numFmtId="168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51170384838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5">
    <xf numFmtId="0" fontId="0" fillId="0" borderId="0"/>
    <xf numFmtId="0" fontId="1" fillId="0" borderId="0"/>
    <xf numFmtId="164" fontId="3" fillId="0" borderId="0"/>
    <xf numFmtId="9" fontId="1" fillId="0" borderId="0" applyFont="0" applyFill="0" applyBorder="0" applyAlignment="0" applyProtection="0"/>
    <xf numFmtId="0" fontId="3" fillId="0" borderId="0"/>
  </cellStyleXfs>
  <cellXfs count="79">
    <xf numFmtId="0" fontId="0" fillId="0" borderId="0" xfId="0"/>
    <xf numFmtId="0" fontId="1" fillId="0" borderId="0" xfId="1"/>
    <xf numFmtId="0" fontId="2" fillId="0" borderId="0" xfId="1" applyFont="1"/>
    <xf numFmtId="0" fontId="3" fillId="3" borderId="5" xfId="1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0" fontId="4" fillId="3" borderId="6" xfId="1" applyFont="1" applyFill="1" applyBorder="1"/>
    <xf numFmtId="0" fontId="1" fillId="0" borderId="7" xfId="1" applyBorder="1" applyAlignment="1">
      <alignment horizontal="center"/>
    </xf>
    <xf numFmtId="164" fontId="3" fillId="3" borderId="8" xfId="2" applyFont="1" applyFill="1" applyBorder="1" applyAlignment="1" applyProtection="1">
      <alignment horizontal="center"/>
    </xf>
    <xf numFmtId="2" fontId="0" fillId="0" borderId="9" xfId="3" applyNumberFormat="1" applyFont="1" applyBorder="1" applyAlignment="1">
      <alignment horizontal="center"/>
    </xf>
    <xf numFmtId="2" fontId="2" fillId="0" borderId="0" xfId="1" applyNumberFormat="1" applyFont="1"/>
    <xf numFmtId="165" fontId="0" fillId="0" borderId="9" xfId="3" applyNumberFormat="1" applyFont="1" applyBorder="1" applyAlignment="1">
      <alignment horizontal="center"/>
    </xf>
    <xf numFmtId="0" fontId="1" fillId="0" borderId="8" xfId="1" applyBorder="1" applyAlignment="1">
      <alignment horizontal="center"/>
    </xf>
    <xf numFmtId="10" fontId="2" fillId="0" borderId="0" xfId="1" applyNumberFormat="1" applyFont="1"/>
    <xf numFmtId="164" fontId="3" fillId="4" borderId="3" xfId="2" applyFont="1" applyFill="1" applyBorder="1" applyAlignment="1" applyProtection="1">
      <alignment horizontal="center"/>
    </xf>
    <xf numFmtId="166" fontId="1" fillId="0" borderId="5" xfId="1" applyNumberFormat="1" applyBorder="1" applyAlignment="1">
      <alignment horizontal="center"/>
    </xf>
    <xf numFmtId="164" fontId="3" fillId="4" borderId="10" xfId="2" applyFont="1" applyFill="1" applyBorder="1" applyAlignment="1" applyProtection="1">
      <alignment horizontal="center"/>
    </xf>
    <xf numFmtId="166" fontId="1" fillId="0" borderId="8" xfId="1" applyNumberFormat="1" applyBorder="1" applyAlignment="1">
      <alignment horizontal="center"/>
    </xf>
    <xf numFmtId="0" fontId="1" fillId="0" borderId="0" xfId="1" applyAlignment="1">
      <alignment horizontal="right"/>
    </xf>
    <xf numFmtId="10" fontId="1" fillId="0" borderId="8" xfId="3" applyNumberFormat="1" applyBorder="1" applyAlignment="1">
      <alignment horizontal="center"/>
    </xf>
    <xf numFmtId="0" fontId="1" fillId="4" borderId="11" xfId="1" applyFont="1" applyFill="1" applyBorder="1" applyAlignment="1">
      <alignment horizontal="center"/>
    </xf>
    <xf numFmtId="10" fontId="1" fillId="0" borderId="12" xfId="3" applyNumberFormat="1" applyBorder="1" applyAlignment="1">
      <alignment horizontal="center"/>
    </xf>
    <xf numFmtId="1" fontId="3" fillId="0" borderId="0" xfId="2" applyNumberFormat="1" applyFont="1" applyProtection="1"/>
    <xf numFmtId="167" fontId="1" fillId="0" borderId="0" xfId="1" applyNumberFormat="1" applyFont="1" applyAlignment="1">
      <alignment horizontal="center"/>
    </xf>
    <xf numFmtId="167" fontId="1" fillId="0" borderId="15" xfId="1" applyNumberFormat="1" applyFont="1" applyBorder="1" applyAlignment="1">
      <alignment horizontal="center"/>
    </xf>
    <xf numFmtId="167" fontId="1" fillId="0" borderId="16" xfId="1" applyNumberFormat="1" applyFont="1" applyBorder="1" applyAlignment="1">
      <alignment horizontal="center"/>
    </xf>
    <xf numFmtId="168" fontId="1" fillId="0" borderId="17" xfId="1" applyNumberFormat="1" applyFont="1" applyBorder="1" applyAlignment="1">
      <alignment horizontal="center"/>
    </xf>
    <xf numFmtId="168" fontId="1" fillId="0" borderId="0" xfId="1" applyNumberFormat="1" applyFont="1" applyBorder="1" applyAlignment="1">
      <alignment horizontal="center"/>
    </xf>
    <xf numFmtId="168" fontId="1" fillId="0" borderId="18" xfId="1" applyNumberFormat="1" applyFont="1" applyBorder="1" applyAlignment="1">
      <alignment horizontal="center"/>
    </xf>
    <xf numFmtId="167" fontId="4" fillId="0" borderId="0" xfId="1" applyNumberFormat="1" applyFont="1" applyAlignment="1">
      <alignment horizontal="center"/>
    </xf>
    <xf numFmtId="167" fontId="1" fillId="0" borderId="17" xfId="1" applyNumberFormat="1" applyFont="1" applyBorder="1" applyAlignment="1">
      <alignment horizontal="center"/>
    </xf>
    <xf numFmtId="167" fontId="1" fillId="0" borderId="0" xfId="1" applyNumberFormat="1" applyFont="1" applyBorder="1" applyAlignment="1">
      <alignment horizontal="center"/>
    </xf>
    <xf numFmtId="167" fontId="1" fillId="0" borderId="18" xfId="1" applyNumberFormat="1" applyFont="1" applyBorder="1" applyAlignment="1">
      <alignment horizontal="center"/>
    </xf>
    <xf numFmtId="167" fontId="4" fillId="0" borderId="19" xfId="1" applyNumberFormat="1" applyFont="1" applyBorder="1" applyAlignment="1">
      <alignment horizontal="center"/>
    </xf>
    <xf numFmtId="167" fontId="4" fillId="0" borderId="20" xfId="1" applyNumberFormat="1" applyFont="1" applyBorder="1" applyAlignment="1">
      <alignment horizontal="center"/>
    </xf>
    <xf numFmtId="167" fontId="4" fillId="0" borderId="21" xfId="1" applyNumberFormat="1" applyFont="1" applyBorder="1" applyAlignment="1">
      <alignment horizontal="center"/>
    </xf>
    <xf numFmtId="2" fontId="1" fillId="0" borderId="17" xfId="1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2" fontId="1" fillId="0" borderId="18" xfId="1" applyNumberFormat="1" applyFont="1" applyBorder="1" applyAlignment="1">
      <alignment horizontal="center"/>
    </xf>
    <xf numFmtId="167" fontId="1" fillId="6" borderId="0" xfId="1" applyNumberFormat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22" xfId="1" applyBorder="1" applyAlignment="1">
      <alignment horizontal="center"/>
    </xf>
    <xf numFmtId="0" fontId="1" fillId="3" borderId="3" xfId="1" applyFont="1" applyFill="1" applyBorder="1"/>
    <xf numFmtId="0" fontId="1" fillId="0" borderId="5" xfId="1" applyBorder="1" applyAlignment="1">
      <alignment horizontal="center"/>
    </xf>
    <xf numFmtId="0" fontId="1" fillId="3" borderId="10" xfId="1" applyFont="1" applyFill="1" applyBorder="1"/>
    <xf numFmtId="0" fontId="1" fillId="3" borderId="11" xfId="1" applyFont="1" applyFill="1" applyBorder="1"/>
    <xf numFmtId="0" fontId="1" fillId="0" borderId="12" xfId="1" applyBorder="1"/>
    <xf numFmtId="10" fontId="0" fillId="0" borderId="9" xfId="3" applyNumberFormat="1" applyFont="1" applyBorder="1" applyAlignment="1">
      <alignment horizontal="center"/>
    </xf>
    <xf numFmtId="164" fontId="3" fillId="3" borderId="12" xfId="2" applyFont="1" applyFill="1" applyBorder="1" applyAlignment="1" applyProtection="1">
      <alignment horizontal="center"/>
    </xf>
    <xf numFmtId="10" fontId="0" fillId="0" borderId="12" xfId="3" applyNumberFormat="1" applyFont="1" applyBorder="1" applyAlignment="1">
      <alignment horizontal="center"/>
    </xf>
    <xf numFmtId="0" fontId="3" fillId="0" borderId="0" xfId="4"/>
    <xf numFmtId="0" fontId="4" fillId="3" borderId="3" xfId="1" applyFont="1" applyFill="1" applyBorder="1"/>
    <xf numFmtId="0" fontId="4" fillId="3" borderId="11" xfId="1" applyFont="1" applyFill="1" applyBorder="1"/>
    <xf numFmtId="0" fontId="1" fillId="0" borderId="12" xfId="1" applyBorder="1" applyAlignment="1">
      <alignment horizontal="center"/>
    </xf>
    <xf numFmtId="0" fontId="2" fillId="0" borderId="0" xfId="4" applyFont="1"/>
    <xf numFmtId="0" fontId="3" fillId="0" borderId="0" xfId="4" applyAlignment="1">
      <alignment horizontal="right"/>
    </xf>
    <xf numFmtId="2" fontId="3" fillId="0" borderId="0" xfId="4" applyNumberFormat="1" applyFont="1"/>
    <xf numFmtId="2" fontId="3" fillId="0" borderId="0" xfId="4" applyNumberFormat="1"/>
    <xf numFmtId="2" fontId="2" fillId="0" borderId="0" xfId="4" applyNumberFormat="1" applyFont="1"/>
    <xf numFmtId="0" fontId="2" fillId="0" borderId="0" xfId="4" quotePrefix="1" applyFont="1" applyAlignment="1">
      <alignment horizontal="left"/>
    </xf>
    <xf numFmtId="2" fontId="3" fillId="0" borderId="0" xfId="4" applyNumberFormat="1" applyFont="1" applyAlignment="1">
      <alignment horizontal="right"/>
    </xf>
    <xf numFmtId="0" fontId="1" fillId="2" borderId="0" xfId="1" applyFont="1" applyFill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0" xfId="1" applyBorder="1"/>
    <xf numFmtId="2" fontId="0" fillId="0" borderId="0" xfId="3" applyNumberFormat="1" applyFont="1" applyBorder="1" applyAlignment="1">
      <alignment horizontal="center"/>
    </xf>
    <xf numFmtId="165" fontId="0" fillId="0" borderId="0" xfId="3" applyNumberFormat="1" applyFon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166" fontId="1" fillId="0" borderId="0" xfId="1" applyNumberFormat="1" applyBorder="1" applyAlignment="1">
      <alignment horizontal="center"/>
    </xf>
    <xf numFmtId="10" fontId="1" fillId="0" borderId="0" xfId="3" applyNumberFormat="1" applyBorder="1" applyAlignment="1">
      <alignment horizontal="center"/>
    </xf>
    <xf numFmtId="1" fontId="1" fillId="0" borderId="17" xfId="1" applyNumberFormat="1" applyFont="1" applyBorder="1" applyAlignment="1">
      <alignment horizontal="center"/>
    </xf>
    <xf numFmtId="1" fontId="1" fillId="0" borderId="0" xfId="1" applyNumberFormat="1" applyFont="1" applyBorder="1" applyAlignment="1">
      <alignment horizontal="center"/>
    </xf>
    <xf numFmtId="1" fontId="1" fillId="0" borderId="18" xfId="1" applyNumberFormat="1" applyFont="1" applyBorder="1" applyAlignment="1">
      <alignment horizontal="center"/>
    </xf>
    <xf numFmtId="167" fontId="4" fillId="5" borderId="15" xfId="1" applyNumberFormat="1" applyFont="1" applyFill="1" applyBorder="1" applyAlignment="1">
      <alignment horizontal="center"/>
    </xf>
    <xf numFmtId="167" fontId="4" fillId="5" borderId="13" xfId="1" applyNumberFormat="1" applyFont="1" applyFill="1" applyBorder="1" applyAlignment="1">
      <alignment horizontal="center"/>
    </xf>
    <xf numFmtId="167" fontId="4" fillId="5" borderId="23" xfId="1" applyNumberFormat="1" applyFont="1" applyFill="1" applyBorder="1" applyAlignment="1">
      <alignment horizontal="center"/>
    </xf>
    <xf numFmtId="167" fontId="4" fillId="5" borderId="14" xfId="1" applyNumberFormat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</cellXfs>
  <cellStyles count="5">
    <cellStyle name="Normal 2" xfId="1"/>
    <cellStyle name="Normal 2 2" xfId="4"/>
    <cellStyle name="Normal_Call" xfId="2"/>
    <cellStyle name="Percent 2" xfId="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4"/>
  <sheetViews>
    <sheetView showGridLines="0" tabSelected="1" topLeftCell="A39" zoomScale="70" zoomScaleNormal="70" workbookViewId="0">
      <selection activeCell="AC81" sqref="AC81"/>
    </sheetView>
  </sheetViews>
  <sheetFormatPr baseColWidth="10" defaultColWidth="9.140625" defaultRowHeight="12.75" x14ac:dyDescent="0.2"/>
  <cols>
    <col min="1" max="1" width="10.42578125" style="1" bestFit="1" customWidth="1"/>
    <col min="2" max="8" width="9.140625" style="1"/>
    <col min="9" max="9" width="10.28515625" style="1" bestFit="1" customWidth="1"/>
    <col min="10" max="10" width="9.140625" style="1"/>
    <col min="11" max="11" width="10.28515625" style="1" bestFit="1" customWidth="1"/>
    <col min="12" max="16384" width="9.140625" style="1"/>
  </cols>
  <sheetData>
    <row r="1" spans="1:21" ht="13.5" thickBot="1" x14ac:dyDescent="0.25">
      <c r="A1" s="75" t="s">
        <v>0</v>
      </c>
      <c r="B1" s="76"/>
      <c r="C1" s="60"/>
      <c r="G1" s="75" t="s">
        <v>18</v>
      </c>
      <c r="H1" s="76"/>
      <c r="K1" s="75" t="s">
        <v>1</v>
      </c>
      <c r="L1" s="76"/>
      <c r="M1" s="60"/>
      <c r="N1" s="60"/>
      <c r="O1" s="60"/>
      <c r="P1" s="60"/>
      <c r="Q1" s="60"/>
    </row>
    <row r="2" spans="1:21" ht="13.5" thickBot="1" x14ac:dyDescent="0.25">
      <c r="A2" s="3" t="s">
        <v>2</v>
      </c>
      <c r="B2" s="4">
        <v>100</v>
      </c>
      <c r="C2" s="61"/>
      <c r="G2" s="39" t="s">
        <v>19</v>
      </c>
      <c r="H2" s="40">
        <v>15</v>
      </c>
      <c r="K2" s="41" t="s">
        <v>20</v>
      </c>
      <c r="L2" s="42">
        <v>1</v>
      </c>
      <c r="M2" s="61"/>
      <c r="N2" s="61"/>
      <c r="O2" s="61"/>
      <c r="P2" s="61"/>
      <c r="Q2" s="61"/>
    </row>
    <row r="3" spans="1:21" ht="15" x14ac:dyDescent="0.25">
      <c r="A3" s="7" t="s">
        <v>4</v>
      </c>
      <c r="B3" s="8">
        <v>0.25</v>
      </c>
      <c r="C3" s="63"/>
      <c r="F3" s="9"/>
      <c r="K3" s="43" t="s">
        <v>3</v>
      </c>
      <c r="L3" s="11">
        <v>110</v>
      </c>
      <c r="M3" s="61"/>
      <c r="N3" s="61"/>
      <c r="O3" s="61"/>
      <c r="P3" s="61"/>
      <c r="Q3" s="61"/>
    </row>
    <row r="4" spans="1:21" ht="15" x14ac:dyDescent="0.25">
      <c r="A4" s="7" t="s">
        <v>5</v>
      </c>
      <c r="B4" s="10">
        <v>0.3</v>
      </c>
      <c r="C4" s="64"/>
      <c r="F4" s="9"/>
      <c r="K4" s="43" t="s">
        <v>19</v>
      </c>
      <c r="L4" s="11">
        <v>10</v>
      </c>
      <c r="M4" s="61"/>
      <c r="N4" s="61"/>
      <c r="O4" s="61"/>
      <c r="P4" s="61"/>
      <c r="Q4" s="61"/>
    </row>
    <row r="5" spans="1:21" ht="13.5" thickBot="1" x14ac:dyDescent="0.25">
      <c r="A5" s="7" t="s">
        <v>6</v>
      </c>
      <c r="B5" s="11">
        <v>15</v>
      </c>
      <c r="C5" s="61"/>
      <c r="F5" s="12"/>
      <c r="I5" s="17"/>
      <c r="J5" s="17"/>
      <c r="K5" s="44" t="s">
        <v>21</v>
      </c>
      <c r="L5" s="45" t="s">
        <v>36</v>
      </c>
      <c r="M5" s="62"/>
      <c r="N5" s="62"/>
      <c r="O5" s="62"/>
      <c r="P5" s="62"/>
      <c r="Q5" s="62"/>
    </row>
    <row r="6" spans="1:21" ht="15" x14ac:dyDescent="0.25">
      <c r="A6" s="7" t="s">
        <v>23</v>
      </c>
      <c r="B6" s="46">
        <v>0.02</v>
      </c>
      <c r="C6" s="65"/>
      <c r="F6" s="12"/>
    </row>
    <row r="7" spans="1:21" ht="15.75" thickBot="1" x14ac:dyDescent="0.3">
      <c r="A7" s="47" t="s">
        <v>24</v>
      </c>
      <c r="B7" s="48">
        <v>0.01</v>
      </c>
      <c r="C7" s="65"/>
    </row>
    <row r="8" spans="1:21" x14ac:dyDescent="0.2">
      <c r="A8" s="13" t="s">
        <v>8</v>
      </c>
      <c r="B8" s="14">
        <f>EXP(B4*SQRT(B3/B5))</f>
        <v>1.0394896104013376</v>
      </c>
      <c r="C8" s="66"/>
    </row>
    <row r="9" spans="1:21" x14ac:dyDescent="0.2">
      <c r="A9" s="15" t="s">
        <v>9</v>
      </c>
      <c r="B9" s="16">
        <f>1/B8</f>
        <v>0.96201057710803761</v>
      </c>
      <c r="C9" s="66"/>
    </row>
    <row r="10" spans="1:21" x14ac:dyDescent="0.2">
      <c r="A10" s="15" t="s">
        <v>10</v>
      </c>
      <c r="B10" s="18">
        <f>(EXP((B6 - B7) * B3/B5) - B9) / (B8 - B9)</f>
        <v>0.49247005062451049</v>
      </c>
      <c r="C10" s="67"/>
      <c r="F10" s="21"/>
      <c r="H10" s="17"/>
      <c r="I10" s="17"/>
    </row>
    <row r="11" spans="1:21" ht="13.5" thickBot="1" x14ac:dyDescent="0.25">
      <c r="A11" s="19" t="s">
        <v>11</v>
      </c>
      <c r="B11" s="20">
        <f>1 - B10</f>
        <v>0.50752994937548945</v>
      </c>
      <c r="C11" s="67"/>
      <c r="F11" s="21"/>
      <c r="H11" s="17"/>
      <c r="I11" s="17"/>
    </row>
    <row r="12" spans="1:21" ht="13.5" thickBot="1" x14ac:dyDescent="0.25"/>
    <row r="13" spans="1:21" ht="13.5" thickBot="1" x14ac:dyDescent="0.25">
      <c r="A13" s="22"/>
      <c r="B13" s="72" t="s">
        <v>12</v>
      </c>
      <c r="C13" s="73"/>
      <c r="D13" s="74"/>
      <c r="E13" s="71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4"/>
      <c r="T13" s="22"/>
      <c r="U13" s="22"/>
    </row>
    <row r="14" spans="1:21" x14ac:dyDescent="0.2">
      <c r="A14" s="22"/>
      <c r="B14" s="68"/>
      <c r="C14" s="69">
        <v>0</v>
      </c>
      <c r="D14" s="69">
        <v>1</v>
      </c>
      <c r="E14" s="69">
        <v>2</v>
      </c>
      <c r="F14" s="69">
        <v>3</v>
      </c>
      <c r="G14" s="69">
        <v>4</v>
      </c>
      <c r="H14" s="69">
        <v>5</v>
      </c>
      <c r="I14" s="69">
        <v>6</v>
      </c>
      <c r="J14" s="69">
        <v>7</v>
      </c>
      <c r="K14" s="69">
        <v>8</v>
      </c>
      <c r="L14" s="69">
        <v>9</v>
      </c>
      <c r="M14" s="69">
        <v>10</v>
      </c>
      <c r="N14" s="69">
        <v>11</v>
      </c>
      <c r="O14" s="69">
        <v>12</v>
      </c>
      <c r="P14" s="69">
        <v>13</v>
      </c>
      <c r="Q14" s="69">
        <v>14</v>
      </c>
      <c r="R14" s="69">
        <v>15</v>
      </c>
      <c r="S14" s="70">
        <v>16</v>
      </c>
      <c r="T14" s="22"/>
      <c r="U14" s="22"/>
    </row>
    <row r="15" spans="1:21" x14ac:dyDescent="0.2">
      <c r="A15" s="22"/>
      <c r="B15" s="68">
        <v>15</v>
      </c>
      <c r="C15" s="30"/>
      <c r="D15" s="30" t="str">
        <f t="shared" ref="D15:R29" ca="1" si="0">IF($B15&lt;D$14,$B$9*OFFSET(D15,0,-1),IF($B15=D$14,$B$8*OFFSET(D15,1,-1),""))</f>
        <v/>
      </c>
      <c r="E15" s="30" t="str">
        <f t="shared" ca="1" si="0"/>
        <v/>
      </c>
      <c r="F15" s="30" t="str">
        <f t="shared" ca="1" si="0"/>
        <v/>
      </c>
      <c r="G15" s="30" t="str">
        <f t="shared" ca="1" si="0"/>
        <v/>
      </c>
      <c r="H15" s="30" t="str">
        <f t="shared" ca="1" si="0"/>
        <v/>
      </c>
      <c r="I15" s="30" t="str">
        <f t="shared" ca="1" si="0"/>
        <v/>
      </c>
      <c r="J15" s="30" t="str">
        <f t="shared" ca="1" si="0"/>
        <v/>
      </c>
      <c r="K15" s="30" t="str">
        <f t="shared" ca="1" si="0"/>
        <v/>
      </c>
      <c r="L15" s="30" t="str">
        <f t="shared" ca="1" si="0"/>
        <v/>
      </c>
      <c r="M15" s="30" t="str">
        <f t="shared" ca="1" si="0"/>
        <v/>
      </c>
      <c r="N15" s="30" t="str">
        <f t="shared" ca="1" si="0"/>
        <v/>
      </c>
      <c r="O15" s="30" t="str">
        <f t="shared" ca="1" si="0"/>
        <v/>
      </c>
      <c r="P15" s="30" t="str">
        <f t="shared" ca="1" si="0"/>
        <v/>
      </c>
      <c r="Q15" s="30" t="str">
        <f t="shared" ca="1" si="0"/>
        <v/>
      </c>
      <c r="R15" s="30">
        <f t="shared" ca="1" si="0"/>
        <v>178.77315075823685</v>
      </c>
      <c r="S15" s="31"/>
      <c r="T15" s="22"/>
      <c r="U15" s="22"/>
    </row>
    <row r="16" spans="1:21" x14ac:dyDescent="0.2">
      <c r="A16" s="22"/>
      <c r="B16" s="68">
        <v>14</v>
      </c>
      <c r="C16" s="30"/>
      <c r="D16" s="30" t="str">
        <f t="shared" ca="1" si="0"/>
        <v/>
      </c>
      <c r="E16" s="30" t="str">
        <f t="shared" ca="1" si="0"/>
        <v/>
      </c>
      <c r="F16" s="30" t="str">
        <f t="shared" ca="1" si="0"/>
        <v/>
      </c>
      <c r="G16" s="30" t="str">
        <f t="shared" ca="1" si="0"/>
        <v/>
      </c>
      <c r="H16" s="30" t="str">
        <f t="shared" ca="1" si="0"/>
        <v/>
      </c>
      <c r="I16" s="30" t="str">
        <f t="shared" ca="1" si="0"/>
        <v/>
      </c>
      <c r="J16" s="30" t="str">
        <f t="shared" ca="1" si="0"/>
        <v/>
      </c>
      <c r="K16" s="30" t="str">
        <f t="shared" ca="1" si="0"/>
        <v/>
      </c>
      <c r="L16" s="30" t="str">
        <f t="shared" ca="1" si="0"/>
        <v/>
      </c>
      <c r="M16" s="30" t="str">
        <f t="shared" ca="1" si="0"/>
        <v/>
      </c>
      <c r="N16" s="30" t="str">
        <f t="shared" ca="1" si="0"/>
        <v/>
      </c>
      <c r="O16" s="30" t="str">
        <f t="shared" ca="1" si="0"/>
        <v/>
      </c>
      <c r="P16" s="30" t="str">
        <f t="shared" ca="1" si="0"/>
        <v/>
      </c>
      <c r="Q16" s="30">
        <f t="shared" ca="1" si="0"/>
        <v>171.98166193235366</v>
      </c>
      <c r="R16" s="30">
        <f t="shared" ca="1" si="0"/>
        <v>165.44817784754298</v>
      </c>
      <c r="S16" s="31"/>
      <c r="T16" s="22"/>
      <c r="U16" s="22"/>
    </row>
    <row r="17" spans="1:21" x14ac:dyDescent="0.2">
      <c r="A17" s="22"/>
      <c r="B17" s="68">
        <v>13</v>
      </c>
      <c r="C17" s="30"/>
      <c r="D17" s="30" t="str">
        <f t="shared" ca="1" si="0"/>
        <v/>
      </c>
      <c r="E17" s="30" t="str">
        <f t="shared" ca="1" si="0"/>
        <v/>
      </c>
      <c r="F17" s="30" t="str">
        <f t="shared" ca="1" si="0"/>
        <v/>
      </c>
      <c r="G17" s="30" t="str">
        <f t="shared" ca="1" si="0"/>
        <v/>
      </c>
      <c r="H17" s="30" t="str">
        <f t="shared" ca="1" si="0"/>
        <v/>
      </c>
      <c r="I17" s="30" t="str">
        <f t="shared" ca="1" si="0"/>
        <v/>
      </c>
      <c r="J17" s="30" t="str">
        <f t="shared" ca="1" si="0"/>
        <v/>
      </c>
      <c r="K17" s="30" t="str">
        <f t="shared" ca="1" si="0"/>
        <v/>
      </c>
      <c r="L17" s="30" t="str">
        <f t="shared" ca="1" si="0"/>
        <v/>
      </c>
      <c r="M17" s="30" t="str">
        <f t="shared" ca="1" si="0"/>
        <v/>
      </c>
      <c r="N17" s="30" t="str">
        <f t="shared" ca="1" si="0"/>
        <v/>
      </c>
      <c r="O17" s="30" t="str">
        <f t="shared" ca="1" si="0"/>
        <v/>
      </c>
      <c r="P17" s="30">
        <f t="shared" ca="1" si="0"/>
        <v>165.44817784754298</v>
      </c>
      <c r="Q17" s="30">
        <f t="shared" ca="1" si="0"/>
        <v>159.16289705258808</v>
      </c>
      <c r="R17" s="30">
        <f t="shared" ca="1" si="0"/>
        <v>153.11639044774745</v>
      </c>
      <c r="S17" s="31"/>
      <c r="T17" s="22"/>
      <c r="U17" s="22"/>
    </row>
    <row r="18" spans="1:21" x14ac:dyDescent="0.2">
      <c r="A18" s="22"/>
      <c r="B18" s="68">
        <v>12</v>
      </c>
      <c r="C18" s="30"/>
      <c r="D18" s="30" t="str">
        <f t="shared" ca="1" si="0"/>
        <v/>
      </c>
      <c r="E18" s="30" t="str">
        <f t="shared" ca="1" si="0"/>
        <v/>
      </c>
      <c r="F18" s="30" t="str">
        <f t="shared" ca="1" si="0"/>
        <v/>
      </c>
      <c r="G18" s="30" t="str">
        <f t="shared" ca="1" si="0"/>
        <v/>
      </c>
      <c r="H18" s="30" t="str">
        <f t="shared" ca="1" si="0"/>
        <v/>
      </c>
      <c r="I18" s="30" t="str">
        <f t="shared" ca="1" si="0"/>
        <v/>
      </c>
      <c r="J18" s="30" t="str">
        <f t="shared" ca="1" si="0"/>
        <v/>
      </c>
      <c r="K18" s="30" t="str">
        <f t="shared" ca="1" si="0"/>
        <v/>
      </c>
      <c r="L18" s="30" t="str">
        <f t="shared" ca="1" si="0"/>
        <v/>
      </c>
      <c r="M18" s="30" t="str">
        <f t="shared" ca="1" si="0"/>
        <v/>
      </c>
      <c r="N18" s="30" t="str">
        <f t="shared" ca="1" si="0"/>
        <v/>
      </c>
      <c r="O18" s="30">
        <f t="shared" ca="1" si="0"/>
        <v>159.16289705258808</v>
      </c>
      <c r="P18" s="30">
        <f t="shared" ca="1" si="0"/>
        <v>153.11639044774745</v>
      </c>
      <c r="Q18" s="30">
        <f t="shared" ca="1" si="0"/>
        <v>147.29958713933715</v>
      </c>
      <c r="R18" s="30">
        <f t="shared" ca="1" si="0"/>
        <v>141.70376083168941</v>
      </c>
      <c r="S18" s="31"/>
      <c r="T18" s="22"/>
      <c r="U18" s="22"/>
    </row>
    <row r="19" spans="1:21" x14ac:dyDescent="0.2">
      <c r="A19" s="22"/>
      <c r="B19" s="68">
        <v>11</v>
      </c>
      <c r="C19" s="30"/>
      <c r="D19" s="30" t="str">
        <f t="shared" ca="1" si="0"/>
        <v/>
      </c>
      <c r="E19" s="30" t="str">
        <f t="shared" ca="1" si="0"/>
        <v/>
      </c>
      <c r="F19" s="30" t="str">
        <f t="shared" ca="1" si="0"/>
        <v/>
      </c>
      <c r="G19" s="30" t="str">
        <f t="shared" ca="1" si="0"/>
        <v/>
      </c>
      <c r="H19" s="30" t="str">
        <f t="shared" ca="1" si="0"/>
        <v/>
      </c>
      <c r="I19" s="30" t="str">
        <f t="shared" ca="1" si="0"/>
        <v/>
      </c>
      <c r="J19" s="30" t="str">
        <f t="shared" ca="1" si="0"/>
        <v/>
      </c>
      <c r="K19" s="30" t="str">
        <f t="shared" ca="1" si="0"/>
        <v/>
      </c>
      <c r="L19" s="30" t="str">
        <f t="shared" ca="1" si="0"/>
        <v/>
      </c>
      <c r="M19" s="30" t="str">
        <f t="shared" ca="1" si="0"/>
        <v/>
      </c>
      <c r="N19" s="30">
        <f t="shared" ca="1" si="0"/>
        <v>153.11639044774745</v>
      </c>
      <c r="O19" s="30">
        <f t="shared" ca="1" si="0"/>
        <v>147.29958713933715</v>
      </c>
      <c r="P19" s="30">
        <f t="shared" ca="1" si="0"/>
        <v>141.70376083168941</v>
      </c>
      <c r="Q19" s="30">
        <f t="shared" ca="1" si="0"/>
        <v>136.32051673607288</v>
      </c>
      <c r="R19" s="30">
        <f t="shared" ca="1" si="0"/>
        <v>131.14177897693537</v>
      </c>
      <c r="S19" s="31"/>
      <c r="T19" s="22"/>
      <c r="U19" s="22"/>
    </row>
    <row r="20" spans="1:21" x14ac:dyDescent="0.2">
      <c r="A20" s="22"/>
      <c r="B20" s="68">
        <v>10</v>
      </c>
      <c r="C20" s="30"/>
      <c r="D20" s="30" t="str">
        <f t="shared" ca="1" si="0"/>
        <v/>
      </c>
      <c r="E20" s="30" t="str">
        <f t="shared" ca="1" si="0"/>
        <v/>
      </c>
      <c r="F20" s="30" t="str">
        <f t="shared" ca="1" si="0"/>
        <v/>
      </c>
      <c r="G20" s="30" t="str">
        <f t="shared" ca="1" si="0"/>
        <v/>
      </c>
      <c r="H20" s="30" t="str">
        <f t="shared" ca="1" si="0"/>
        <v/>
      </c>
      <c r="I20" s="30" t="str">
        <f t="shared" ca="1" si="0"/>
        <v/>
      </c>
      <c r="J20" s="30" t="str">
        <f t="shared" ca="1" si="0"/>
        <v/>
      </c>
      <c r="K20" s="30" t="str">
        <f t="shared" ca="1" si="0"/>
        <v/>
      </c>
      <c r="L20" s="30" t="str">
        <f t="shared" ca="1" si="0"/>
        <v/>
      </c>
      <c r="M20" s="30">
        <f t="shared" ca="1" si="0"/>
        <v>147.29958713933715</v>
      </c>
      <c r="N20" s="30">
        <f t="shared" ca="1" si="0"/>
        <v>141.70376083168941</v>
      </c>
      <c r="O20" s="30">
        <f t="shared" ca="1" si="0"/>
        <v>136.32051673607288</v>
      </c>
      <c r="P20" s="30">
        <f t="shared" ref="M20:R29" ca="1" si="1">IF($B20&lt;P$14,$B$9*OFFSET(P20,0,-1),IF($B20=P$14,$B$8*OFFSET(P20,1,-1),""))</f>
        <v>131.14177897693537</v>
      </c>
      <c r="Q20" s="30">
        <f t="shared" ca="1" si="1"/>
        <v>126.15977847657631</v>
      </c>
      <c r="R20" s="30">
        <f t="shared" ca="1" si="1"/>
        <v>121.36704130007335</v>
      </c>
      <c r="S20" s="31"/>
      <c r="T20" s="22"/>
      <c r="U20" s="22"/>
    </row>
    <row r="21" spans="1:21" x14ac:dyDescent="0.2">
      <c r="A21" s="22"/>
      <c r="B21" s="68">
        <v>9</v>
      </c>
      <c r="C21" s="30"/>
      <c r="D21" s="30" t="str">
        <f t="shared" ca="1" si="0"/>
        <v/>
      </c>
      <c r="E21" s="30" t="str">
        <f t="shared" ca="1" si="0"/>
        <v/>
      </c>
      <c r="F21" s="30" t="str">
        <f t="shared" ca="1" si="0"/>
        <v/>
      </c>
      <c r="G21" s="30" t="str">
        <f t="shared" ca="1" si="0"/>
        <v/>
      </c>
      <c r="H21" s="30" t="str">
        <f t="shared" ca="1" si="0"/>
        <v/>
      </c>
      <c r="I21" s="30" t="str">
        <f t="shared" ca="1" si="0"/>
        <v/>
      </c>
      <c r="J21" s="30" t="str">
        <f t="shared" ca="1" si="0"/>
        <v/>
      </c>
      <c r="K21" s="30" t="str">
        <f t="shared" ca="1" si="0"/>
        <v/>
      </c>
      <c r="L21" s="30">
        <f t="shared" ca="1" si="0"/>
        <v>141.70376083168941</v>
      </c>
      <c r="M21" s="30">
        <f t="shared" ca="1" si="1"/>
        <v>136.32051673607288</v>
      </c>
      <c r="N21" s="30">
        <f t="shared" ca="1" si="1"/>
        <v>131.14177897693537</v>
      </c>
      <c r="O21" s="30">
        <f t="shared" ca="1" si="1"/>
        <v>126.15977847657631</v>
      </c>
      <c r="P21" s="30">
        <f t="shared" ca="1" si="1"/>
        <v>121.36704130007335</v>
      </c>
      <c r="Q21" s="30">
        <f t="shared" ca="1" si="1"/>
        <v>116.7563774429786</v>
      </c>
      <c r="R21" s="30">
        <f t="shared" ca="1" si="1"/>
        <v>112.32087004496371</v>
      </c>
      <c r="S21" s="31"/>
      <c r="T21" s="22"/>
      <c r="U21" s="22"/>
    </row>
    <row r="22" spans="1:21" x14ac:dyDescent="0.2">
      <c r="A22" s="22"/>
      <c r="B22" s="68">
        <v>8</v>
      </c>
      <c r="C22" s="30"/>
      <c r="D22" s="30" t="str">
        <f t="shared" ca="1" si="0"/>
        <v/>
      </c>
      <c r="E22" s="30" t="str">
        <f t="shared" ca="1" si="0"/>
        <v/>
      </c>
      <c r="F22" s="30" t="str">
        <f t="shared" ca="1" si="0"/>
        <v/>
      </c>
      <c r="G22" s="30" t="str">
        <f t="shared" ca="1" si="0"/>
        <v/>
      </c>
      <c r="H22" s="30" t="str">
        <f t="shared" ca="1" si="0"/>
        <v/>
      </c>
      <c r="I22" s="30" t="str">
        <f t="shared" ca="1" si="0"/>
        <v/>
      </c>
      <c r="J22" s="30" t="str">
        <f t="shared" ca="1" si="0"/>
        <v/>
      </c>
      <c r="K22" s="30">
        <f t="shared" ca="1" si="0"/>
        <v>136.32051673607288</v>
      </c>
      <c r="L22" s="30">
        <f t="shared" ca="1" si="0"/>
        <v>131.14177897693537</v>
      </c>
      <c r="M22" s="30">
        <f t="shared" ca="1" si="1"/>
        <v>126.15977847657631</v>
      </c>
      <c r="N22" s="30">
        <f t="shared" ca="1" si="1"/>
        <v>121.36704130007335</v>
      </c>
      <c r="O22" s="30">
        <f t="shared" ca="1" si="1"/>
        <v>116.7563774429786</v>
      </c>
      <c r="P22" s="30">
        <f t="shared" ca="1" si="1"/>
        <v>112.32087004496371</v>
      </c>
      <c r="Q22" s="30">
        <f t="shared" ca="1" si="1"/>
        <v>108.05386501323244</v>
      </c>
      <c r="R22" s="30">
        <f t="shared" ca="1" si="1"/>
        <v>103.94896104013374</v>
      </c>
      <c r="S22" s="31"/>
      <c r="T22" s="22"/>
      <c r="U22" s="22"/>
    </row>
    <row r="23" spans="1:21" x14ac:dyDescent="0.2">
      <c r="A23" s="22"/>
      <c r="B23" s="68">
        <v>7</v>
      </c>
      <c r="C23" s="30"/>
      <c r="D23" s="30" t="str">
        <f t="shared" ca="1" si="0"/>
        <v/>
      </c>
      <c r="E23" s="30" t="str">
        <f t="shared" ca="1" si="0"/>
        <v/>
      </c>
      <c r="F23" s="30" t="str">
        <f t="shared" ca="1" si="0"/>
        <v/>
      </c>
      <c r="G23" s="30" t="str">
        <f t="shared" ca="1" si="0"/>
        <v/>
      </c>
      <c r="H23" s="30" t="str">
        <f t="shared" ca="1" si="0"/>
        <v/>
      </c>
      <c r="I23" s="30" t="str">
        <f t="shared" ca="1" si="0"/>
        <v/>
      </c>
      <c r="J23" s="30">
        <f t="shared" ca="1" si="0"/>
        <v>131.14177897693537</v>
      </c>
      <c r="K23" s="30">
        <f t="shared" ca="1" si="0"/>
        <v>126.15977847657631</v>
      </c>
      <c r="L23" s="30">
        <f t="shared" ca="1" si="0"/>
        <v>121.36704130007335</v>
      </c>
      <c r="M23" s="30">
        <f t="shared" ca="1" si="1"/>
        <v>116.7563774429786</v>
      </c>
      <c r="N23" s="30">
        <f t="shared" ca="1" si="1"/>
        <v>112.32087004496371</v>
      </c>
      <c r="O23" s="30">
        <f t="shared" ca="1" si="1"/>
        <v>108.05386501323244</v>
      </c>
      <c r="P23" s="30">
        <f t="shared" ca="1" si="1"/>
        <v>103.94896104013374</v>
      </c>
      <c r="Q23" s="30">
        <f t="shared" ca="1" si="1"/>
        <v>99.999999999999972</v>
      </c>
      <c r="R23" s="30">
        <f t="shared" ca="1" si="1"/>
        <v>96.201057710803738</v>
      </c>
      <c r="S23" s="31"/>
      <c r="T23" s="22"/>
      <c r="U23" s="22"/>
    </row>
    <row r="24" spans="1:21" x14ac:dyDescent="0.2">
      <c r="A24" s="22"/>
      <c r="B24" s="68">
        <v>6</v>
      </c>
      <c r="C24" s="30"/>
      <c r="D24" s="30" t="str">
        <f t="shared" ca="1" si="0"/>
        <v/>
      </c>
      <c r="E24" s="30" t="str">
        <f t="shared" ca="1" si="0"/>
        <v/>
      </c>
      <c r="F24" s="30" t="str">
        <f t="shared" ca="1" si="0"/>
        <v/>
      </c>
      <c r="G24" s="30" t="str">
        <f t="shared" ca="1" si="0"/>
        <v/>
      </c>
      <c r="H24" s="30" t="str">
        <f t="shared" ca="1" si="0"/>
        <v/>
      </c>
      <c r="I24" s="30">
        <f t="shared" ca="1" si="0"/>
        <v>126.15977847657631</v>
      </c>
      <c r="J24" s="30">
        <f t="shared" ca="1" si="0"/>
        <v>121.36704130007335</v>
      </c>
      <c r="K24" s="30">
        <f t="shared" ca="1" si="0"/>
        <v>116.7563774429786</v>
      </c>
      <c r="L24" s="30">
        <f t="shared" ca="1" si="0"/>
        <v>112.32087004496371</v>
      </c>
      <c r="M24" s="30">
        <f t="shared" ca="1" si="1"/>
        <v>108.05386501323244</v>
      </c>
      <c r="N24" s="30">
        <f t="shared" ca="1" si="1"/>
        <v>103.94896104013374</v>
      </c>
      <c r="O24" s="30">
        <f t="shared" ca="1" si="1"/>
        <v>99.999999999999972</v>
      </c>
      <c r="P24" s="30">
        <f t="shared" ca="1" si="1"/>
        <v>96.201057710803738</v>
      </c>
      <c r="Q24" s="30">
        <f t="shared" ca="1" si="1"/>
        <v>92.546435046773937</v>
      </c>
      <c r="R24" s="30">
        <f t="shared" ca="1" si="1"/>
        <v>89.030649388638508</v>
      </c>
      <c r="S24" s="31"/>
      <c r="T24" s="22"/>
      <c r="U24" s="22"/>
    </row>
    <row r="25" spans="1:21" x14ac:dyDescent="0.2">
      <c r="A25" s="22"/>
      <c r="B25" s="68">
        <v>5</v>
      </c>
      <c r="C25" s="30"/>
      <c r="D25" s="30" t="str">
        <f t="shared" ca="1" si="0"/>
        <v/>
      </c>
      <c r="E25" s="30" t="str">
        <f t="shared" ca="1" si="0"/>
        <v/>
      </c>
      <c r="F25" s="30" t="str">
        <f t="shared" ca="1" si="0"/>
        <v/>
      </c>
      <c r="G25" s="30" t="str">
        <f t="shared" ca="1" si="0"/>
        <v/>
      </c>
      <c r="H25" s="30">
        <f t="shared" ca="1" si="0"/>
        <v>121.36704130007337</v>
      </c>
      <c r="I25" s="30">
        <f t="shared" ca="1" si="0"/>
        <v>116.75637744297862</v>
      </c>
      <c r="J25" s="30">
        <f t="shared" ca="1" si="0"/>
        <v>112.32087004496373</v>
      </c>
      <c r="K25" s="30">
        <f t="shared" ca="1" si="0"/>
        <v>108.05386501323245</v>
      </c>
      <c r="L25" s="30">
        <f t="shared" ca="1" si="0"/>
        <v>103.94896104013375</v>
      </c>
      <c r="M25" s="30">
        <f t="shared" ca="1" si="1"/>
        <v>99.999999999999986</v>
      </c>
      <c r="N25" s="30">
        <f t="shared" ca="1" si="1"/>
        <v>96.201057710803752</v>
      </c>
      <c r="O25" s="30">
        <f t="shared" ca="1" si="1"/>
        <v>92.546435046773951</v>
      </c>
      <c r="P25" s="30">
        <f t="shared" ca="1" si="1"/>
        <v>89.030649388638523</v>
      </c>
      <c r="Q25" s="30">
        <f t="shared" ca="1" si="1"/>
        <v>85.648426398667496</v>
      </c>
      <c r="R25" s="30">
        <f t="shared" ca="1" si="1"/>
        <v>82.394692108177395</v>
      </c>
      <c r="S25" s="31"/>
      <c r="T25" s="22"/>
      <c r="U25" s="22"/>
    </row>
    <row r="26" spans="1:21" x14ac:dyDescent="0.2">
      <c r="A26" s="22"/>
      <c r="B26" s="68">
        <v>4</v>
      </c>
      <c r="C26" s="30"/>
      <c r="D26" s="30" t="str">
        <f t="shared" ca="1" si="0"/>
        <v/>
      </c>
      <c r="E26" s="30" t="str">
        <f t="shared" ca="1" si="0"/>
        <v/>
      </c>
      <c r="F26" s="30" t="str">
        <f t="shared" ca="1" si="0"/>
        <v/>
      </c>
      <c r="G26" s="30">
        <f t="shared" ca="1" si="0"/>
        <v>116.75637744297862</v>
      </c>
      <c r="H26" s="30">
        <f t="shared" ca="1" si="0"/>
        <v>112.32087004496373</v>
      </c>
      <c r="I26" s="30">
        <f t="shared" ca="1" si="0"/>
        <v>108.05386501323245</v>
      </c>
      <c r="J26" s="30">
        <f t="shared" ca="1" si="0"/>
        <v>103.94896104013375</v>
      </c>
      <c r="K26" s="30">
        <f t="shared" ca="1" si="0"/>
        <v>99.999999999999986</v>
      </c>
      <c r="L26" s="30">
        <f t="shared" ca="1" si="0"/>
        <v>96.201057710803752</v>
      </c>
      <c r="M26" s="30">
        <f t="shared" ca="1" si="1"/>
        <v>92.546435046773951</v>
      </c>
      <c r="N26" s="30">
        <f t="shared" ca="1" si="1"/>
        <v>89.030649388638523</v>
      </c>
      <c r="O26" s="30">
        <f t="shared" ca="1" si="1"/>
        <v>85.648426398667496</v>
      </c>
      <c r="P26" s="30">
        <f t="shared" ca="1" si="1"/>
        <v>82.394692108177395</v>
      </c>
      <c r="Q26" s="30">
        <f t="shared" ca="1" si="1"/>
        <v>79.264565305626803</v>
      </c>
      <c r="R26" s="30">
        <f t="shared" ca="1" si="1"/>
        <v>76.253350213883778</v>
      </c>
      <c r="S26" s="31"/>
      <c r="T26" s="22"/>
      <c r="U26" s="22"/>
    </row>
    <row r="27" spans="1:21" x14ac:dyDescent="0.2">
      <c r="A27" s="22"/>
      <c r="B27" s="68">
        <v>3</v>
      </c>
      <c r="C27" s="30"/>
      <c r="D27" s="30" t="str">
        <f t="shared" ca="1" si="0"/>
        <v/>
      </c>
      <c r="E27" s="30" t="str">
        <f t="shared" ca="1" si="0"/>
        <v/>
      </c>
      <c r="F27" s="30">
        <f t="shared" ca="1" si="0"/>
        <v>112.32087004496373</v>
      </c>
      <c r="G27" s="30">
        <f t="shared" ca="1" si="0"/>
        <v>108.05386501323245</v>
      </c>
      <c r="H27" s="30">
        <f t="shared" ca="1" si="0"/>
        <v>103.94896104013375</v>
      </c>
      <c r="I27" s="30">
        <f t="shared" ca="1" si="0"/>
        <v>99.999999999999986</v>
      </c>
      <c r="J27" s="30">
        <f t="shared" ca="1" si="0"/>
        <v>96.201057710803752</v>
      </c>
      <c r="K27" s="30">
        <f t="shared" ca="1" si="0"/>
        <v>92.546435046773951</v>
      </c>
      <c r="L27" s="30">
        <f t="shared" ca="1" si="0"/>
        <v>89.030649388638523</v>
      </c>
      <c r="M27" s="30">
        <f t="shared" ca="1" si="1"/>
        <v>85.648426398667496</v>
      </c>
      <c r="N27" s="30">
        <f t="shared" ca="1" si="1"/>
        <v>82.394692108177395</v>
      </c>
      <c r="O27" s="30">
        <f t="shared" ca="1" si="1"/>
        <v>79.264565305626803</v>
      </c>
      <c r="P27" s="30">
        <f t="shared" ca="1" si="1"/>
        <v>76.253350213883778</v>
      </c>
      <c r="Q27" s="30">
        <f t="shared" ca="1" si="1"/>
        <v>73.356529445679641</v>
      </c>
      <c r="R27" s="30">
        <f t="shared" ca="1" si="1"/>
        <v>70.56975722668102</v>
      </c>
      <c r="S27" s="31"/>
      <c r="T27" s="22"/>
      <c r="U27" s="22"/>
    </row>
    <row r="28" spans="1:21" x14ac:dyDescent="0.2">
      <c r="A28" s="22"/>
      <c r="B28" s="68">
        <v>2</v>
      </c>
      <c r="C28" s="30"/>
      <c r="D28" s="30" t="str">
        <f t="shared" ca="1" si="0"/>
        <v/>
      </c>
      <c r="E28" s="30">
        <f t="shared" ca="1" si="0"/>
        <v>108.05386501323245</v>
      </c>
      <c r="F28" s="30">
        <f t="shared" ca="1" si="0"/>
        <v>103.94896104013375</v>
      </c>
      <c r="G28" s="30">
        <f t="shared" ca="1" si="0"/>
        <v>99.999999999999986</v>
      </c>
      <c r="H28" s="30">
        <f t="shared" ca="1" si="0"/>
        <v>96.201057710803752</v>
      </c>
      <c r="I28" s="30">
        <f t="shared" ca="1" si="0"/>
        <v>92.546435046773951</v>
      </c>
      <c r="J28" s="30">
        <f t="shared" ca="1" si="0"/>
        <v>89.030649388638523</v>
      </c>
      <c r="K28" s="30">
        <f t="shared" ca="1" si="0"/>
        <v>85.648426398667496</v>
      </c>
      <c r="L28" s="30">
        <f t="shared" ca="1" si="0"/>
        <v>82.394692108177395</v>
      </c>
      <c r="M28" s="30">
        <f t="shared" ca="1" si="1"/>
        <v>79.264565305626803</v>
      </c>
      <c r="N28" s="30">
        <f t="shared" ca="1" si="1"/>
        <v>76.253350213883778</v>
      </c>
      <c r="O28" s="30">
        <f t="shared" ca="1" si="1"/>
        <v>73.356529445679641</v>
      </c>
      <c r="P28" s="30">
        <f t="shared" ca="1" si="1"/>
        <v>70.56975722668102</v>
      </c>
      <c r="Q28" s="30">
        <f t="shared" ca="1" si="1"/>
        <v>67.888852876013516</v>
      </c>
      <c r="R28" s="30">
        <f t="shared" ca="1" si="1"/>
        <v>65.309794534456415</v>
      </c>
      <c r="S28" s="31"/>
      <c r="T28" s="22"/>
      <c r="U28" s="22"/>
    </row>
    <row r="29" spans="1:21" x14ac:dyDescent="0.2">
      <c r="A29" s="22"/>
      <c r="B29" s="68">
        <v>1</v>
      </c>
      <c r="C29" s="30"/>
      <c r="D29" s="30">
        <f t="shared" ca="1" si="0"/>
        <v>103.94896104013375</v>
      </c>
      <c r="E29" s="30">
        <f t="shared" ca="1" si="0"/>
        <v>99.999999999999986</v>
      </c>
      <c r="F29" s="30">
        <f t="shared" ca="1" si="0"/>
        <v>96.201057710803752</v>
      </c>
      <c r="G29" s="30">
        <f t="shared" ca="1" si="0"/>
        <v>92.546435046773951</v>
      </c>
      <c r="H29" s="30">
        <f t="shared" ca="1" si="0"/>
        <v>89.030649388638523</v>
      </c>
      <c r="I29" s="30">
        <f t="shared" ca="1" si="0"/>
        <v>85.648426398667496</v>
      </c>
      <c r="J29" s="30">
        <f t="shared" ca="1" si="0"/>
        <v>82.394692108177395</v>
      </c>
      <c r="K29" s="30">
        <f t="shared" ca="1" si="0"/>
        <v>79.264565305626803</v>
      </c>
      <c r="L29" s="30">
        <f t="shared" ca="1" si="0"/>
        <v>76.253350213883778</v>
      </c>
      <c r="M29" s="30">
        <f t="shared" ca="1" si="1"/>
        <v>73.356529445679641</v>
      </c>
      <c r="N29" s="30">
        <f t="shared" ca="1" si="1"/>
        <v>70.56975722668102</v>
      </c>
      <c r="O29" s="30">
        <f t="shared" ca="1" si="1"/>
        <v>67.888852876013516</v>
      </c>
      <c r="P29" s="30">
        <f t="shared" ca="1" si="1"/>
        <v>65.309794534456415</v>
      </c>
      <c r="Q29" s="30">
        <f t="shared" ca="1" si="1"/>
        <v>62.828713130899779</v>
      </c>
      <c r="R29" s="30">
        <f t="shared" ca="1" si="1"/>
        <v>60.441886578012237</v>
      </c>
      <c r="S29" s="31"/>
      <c r="T29" s="22"/>
      <c r="U29" s="22"/>
    </row>
    <row r="30" spans="1:21" x14ac:dyDescent="0.2">
      <c r="A30" s="22"/>
      <c r="B30" s="68">
        <v>0</v>
      </c>
      <c r="C30" s="30">
        <f>B2</f>
        <v>100</v>
      </c>
      <c r="D30" s="30">
        <f ca="1">IF($B30&lt;D$14,$B$9*OFFSET(D30,0,-1),IF($B30=D$14,$B$8*OFFSET(D30,1,-1),""))</f>
        <v>96.201057710803767</v>
      </c>
      <c r="E30" s="30">
        <f t="shared" ref="E30:R30" ca="1" si="2">IF($B30&lt;E$14,$B$9*OFFSET(E30,0,-1),IF($B30=E$14,$B$8*OFFSET(E30,1,-1),""))</f>
        <v>92.546435046773965</v>
      </c>
      <c r="F30" s="30">
        <f t="shared" ca="1" si="2"/>
        <v>89.030649388638537</v>
      </c>
      <c r="G30" s="30">
        <f t="shared" ca="1" si="2"/>
        <v>85.64842639866751</v>
      </c>
      <c r="H30" s="30">
        <f t="shared" ca="1" si="2"/>
        <v>82.394692108177409</v>
      </c>
      <c r="I30" s="30">
        <f t="shared" ca="1" si="2"/>
        <v>79.264565305626817</v>
      </c>
      <c r="J30" s="30">
        <f t="shared" ca="1" si="2"/>
        <v>76.253350213883792</v>
      </c>
      <c r="K30" s="30">
        <f t="shared" ca="1" si="2"/>
        <v>73.356529445679655</v>
      </c>
      <c r="L30" s="30">
        <f t="shared" ca="1" si="2"/>
        <v>70.569757226681034</v>
      </c>
      <c r="M30" s="30">
        <f t="shared" ca="1" si="2"/>
        <v>67.88885287601353</v>
      </c>
      <c r="N30" s="30">
        <f t="shared" ca="1" si="2"/>
        <v>65.309794534456429</v>
      </c>
      <c r="O30" s="30">
        <f t="shared" ca="1" si="2"/>
        <v>62.828713130899793</v>
      </c>
      <c r="P30" s="30">
        <f t="shared" ca="1" si="2"/>
        <v>60.441886578012252</v>
      </c>
      <c r="Q30" s="30">
        <f t="shared" ca="1" si="2"/>
        <v>58.145734188412121</v>
      </c>
      <c r="R30" s="30">
        <f t="shared" ca="1" si="2"/>
        <v>55.936811302964898</v>
      </c>
      <c r="S30" s="31"/>
      <c r="T30" s="22"/>
      <c r="U30" s="22"/>
    </row>
    <row r="31" spans="1:21" ht="13.5" thickBot="1" x14ac:dyDescent="0.25">
      <c r="A31" s="28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4"/>
      <c r="T31" s="28"/>
      <c r="U31" s="28"/>
    </row>
    <row r="33" spans="1:21" ht="13.5" thickBot="1" x14ac:dyDescent="0.25"/>
    <row r="34" spans="1:21" ht="13.5" thickBot="1" x14ac:dyDescent="0.25">
      <c r="A34" s="22"/>
      <c r="B34" s="72" t="s">
        <v>32</v>
      </c>
      <c r="C34" s="73"/>
      <c r="D34" s="74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4"/>
      <c r="T34" s="22"/>
      <c r="U34" s="22"/>
    </row>
    <row r="35" spans="1:21" x14ac:dyDescent="0.2">
      <c r="A35" s="22"/>
      <c r="B35" s="68"/>
      <c r="C35" s="69">
        <v>0</v>
      </c>
      <c r="D35" s="69">
        <v>1</v>
      </c>
      <c r="E35" s="69">
        <v>2</v>
      </c>
      <c r="F35" s="69">
        <v>3</v>
      </c>
      <c r="G35" s="69">
        <v>4</v>
      </c>
      <c r="H35" s="69">
        <v>5</v>
      </c>
      <c r="I35" s="69">
        <v>6</v>
      </c>
      <c r="J35" s="69">
        <v>7</v>
      </c>
      <c r="K35" s="69">
        <v>8</v>
      </c>
      <c r="L35" s="69">
        <v>9</v>
      </c>
      <c r="M35" s="69">
        <v>10</v>
      </c>
      <c r="N35" s="69">
        <v>11</v>
      </c>
      <c r="O35" s="69">
        <v>12</v>
      </c>
      <c r="P35" s="69">
        <v>13</v>
      </c>
      <c r="Q35" s="69">
        <v>14</v>
      </c>
      <c r="R35" s="69">
        <v>15</v>
      </c>
      <c r="S35" s="31"/>
      <c r="T35" s="22"/>
      <c r="U35" s="22"/>
    </row>
    <row r="36" spans="1:21" x14ac:dyDescent="0.2">
      <c r="A36" s="22"/>
      <c r="B36" s="68">
        <v>15</v>
      </c>
      <c r="C36" s="36" t="str">
        <f t="shared" ref="C36:Q36" si="3">IF($B36&lt;=C$35,($B$10*D35+$B$11*D36),"")</f>
        <v/>
      </c>
      <c r="D36" s="36" t="str">
        <f t="shared" si="3"/>
        <v/>
      </c>
      <c r="E36" s="36" t="str">
        <f t="shared" si="3"/>
        <v/>
      </c>
      <c r="F36" s="36" t="str">
        <f t="shared" si="3"/>
        <v/>
      </c>
      <c r="G36" s="36" t="str">
        <f t="shared" si="3"/>
        <v/>
      </c>
      <c r="H36" s="36" t="str">
        <f t="shared" si="3"/>
        <v/>
      </c>
      <c r="I36" s="36" t="str">
        <f t="shared" si="3"/>
        <v/>
      </c>
      <c r="J36" s="36" t="str">
        <f t="shared" si="3"/>
        <v/>
      </c>
      <c r="K36" s="36" t="str">
        <f t="shared" si="3"/>
        <v/>
      </c>
      <c r="L36" s="36" t="str">
        <f t="shared" si="3"/>
        <v/>
      </c>
      <c r="M36" s="36" t="str">
        <f t="shared" si="3"/>
        <v/>
      </c>
      <c r="N36" s="36" t="str">
        <f t="shared" si="3"/>
        <v/>
      </c>
      <c r="O36" s="36" t="str">
        <f t="shared" si="3"/>
        <v/>
      </c>
      <c r="P36" s="36" t="str">
        <f t="shared" si="3"/>
        <v/>
      </c>
      <c r="Q36" s="36" t="str">
        <f t="shared" si="3"/>
        <v/>
      </c>
      <c r="R36" s="30">
        <v>178.77315075823685</v>
      </c>
      <c r="S36" s="31"/>
      <c r="T36" s="22"/>
      <c r="U36" s="22"/>
    </row>
    <row r="37" spans="1:21" x14ac:dyDescent="0.2">
      <c r="A37" s="22"/>
      <c r="B37" s="68">
        <v>14</v>
      </c>
      <c r="C37" s="36" t="str">
        <f t="shared" ref="C37:Q37" si="4">IF($B37&lt;=C$35,($B$10*D36+$B$11*D37),"")</f>
        <v/>
      </c>
      <c r="D37" s="36" t="str">
        <f t="shared" si="4"/>
        <v/>
      </c>
      <c r="E37" s="36" t="str">
        <f t="shared" si="4"/>
        <v/>
      </c>
      <c r="F37" s="36" t="str">
        <f t="shared" si="4"/>
        <v/>
      </c>
      <c r="G37" s="36" t="str">
        <f t="shared" si="4"/>
        <v/>
      </c>
      <c r="H37" s="36" t="str">
        <f t="shared" si="4"/>
        <v/>
      </c>
      <c r="I37" s="36" t="str">
        <f t="shared" si="4"/>
        <v/>
      </c>
      <c r="J37" s="36" t="str">
        <f t="shared" si="4"/>
        <v/>
      </c>
      <c r="K37" s="36" t="str">
        <f t="shared" si="4"/>
        <v/>
      </c>
      <c r="L37" s="36" t="str">
        <f t="shared" si="4"/>
        <v/>
      </c>
      <c r="M37" s="36" t="str">
        <f t="shared" si="4"/>
        <v/>
      </c>
      <c r="N37" s="36" t="str">
        <f t="shared" si="4"/>
        <v/>
      </c>
      <c r="O37" s="36" t="str">
        <f t="shared" si="4"/>
        <v/>
      </c>
      <c r="P37" s="36" t="str">
        <f t="shared" si="4"/>
        <v/>
      </c>
      <c r="Q37" s="36">
        <f t="shared" si="4"/>
        <v>172.01032793144262</v>
      </c>
      <c r="R37" s="30">
        <v>165.44817784754298</v>
      </c>
      <c r="S37" s="31"/>
      <c r="T37" s="22"/>
      <c r="U37" s="22"/>
    </row>
    <row r="38" spans="1:21" x14ac:dyDescent="0.2">
      <c r="A38" s="22"/>
      <c r="B38" s="68">
        <v>13</v>
      </c>
      <c r="C38" s="36" t="str">
        <f t="shared" ref="C38:Q38" si="5">IF($B38&lt;=C$35,($B$10*D37+$B$11*D38),"")</f>
        <v/>
      </c>
      <c r="D38" s="36" t="str">
        <f t="shared" si="5"/>
        <v/>
      </c>
      <c r="E38" s="36" t="str">
        <f t="shared" si="5"/>
        <v/>
      </c>
      <c r="F38" s="36" t="str">
        <f t="shared" si="5"/>
        <v/>
      </c>
      <c r="G38" s="36" t="str">
        <f t="shared" si="5"/>
        <v/>
      </c>
      <c r="H38" s="36" t="str">
        <f t="shared" si="5"/>
        <v/>
      </c>
      <c r="I38" s="36" t="str">
        <f t="shared" si="5"/>
        <v/>
      </c>
      <c r="J38" s="36" t="str">
        <f t="shared" si="5"/>
        <v/>
      </c>
      <c r="K38" s="36" t="str">
        <f t="shared" si="5"/>
        <v/>
      </c>
      <c r="L38" s="36" t="str">
        <f t="shared" si="5"/>
        <v/>
      </c>
      <c r="M38" s="36" t="str">
        <f t="shared" si="5"/>
        <v/>
      </c>
      <c r="N38" s="36" t="str">
        <f t="shared" si="5"/>
        <v/>
      </c>
      <c r="O38" s="36" t="str">
        <f t="shared" si="5"/>
        <v/>
      </c>
      <c r="P38" s="36">
        <f t="shared" si="5"/>
        <v>165.50333643274561</v>
      </c>
      <c r="Q38" s="36">
        <f t="shared" si="5"/>
        <v>159.18942641281544</v>
      </c>
      <c r="R38" s="30">
        <v>153.11639044774745</v>
      </c>
      <c r="S38" s="31"/>
      <c r="T38" s="22"/>
      <c r="U38" s="22"/>
    </row>
    <row r="39" spans="1:21" x14ac:dyDescent="0.2">
      <c r="A39" s="22"/>
      <c r="B39" s="68">
        <v>12</v>
      </c>
      <c r="C39" s="36" t="str">
        <f t="shared" ref="C39:Q39" si="6">IF($B39&lt;=C$35,($B$10*D38+$B$11*D39),"")</f>
        <v/>
      </c>
      <c r="D39" s="36" t="str">
        <f t="shared" si="6"/>
        <v/>
      </c>
      <c r="E39" s="36" t="str">
        <f t="shared" si="6"/>
        <v/>
      </c>
      <c r="F39" s="36" t="str">
        <f t="shared" si="6"/>
        <v/>
      </c>
      <c r="G39" s="36" t="str">
        <f t="shared" si="6"/>
        <v/>
      </c>
      <c r="H39" s="36" t="str">
        <f t="shared" si="6"/>
        <v/>
      </c>
      <c r="I39" s="36" t="str">
        <f t="shared" si="6"/>
        <v/>
      </c>
      <c r="J39" s="36" t="str">
        <f t="shared" si="6"/>
        <v/>
      </c>
      <c r="K39" s="36" t="str">
        <f t="shared" si="6"/>
        <v/>
      </c>
      <c r="L39" s="36" t="str">
        <f t="shared" si="6"/>
        <v/>
      </c>
      <c r="M39" s="36" t="str">
        <f t="shared" si="6"/>
        <v/>
      </c>
      <c r="N39" s="36" t="str">
        <f t="shared" si="6"/>
        <v/>
      </c>
      <c r="O39" s="36">
        <f t="shared" si="6"/>
        <v>159.24249839979279</v>
      </c>
      <c r="P39" s="36">
        <f t="shared" si="6"/>
        <v>153.16743775197472</v>
      </c>
      <c r="Q39" s="36">
        <f t="shared" si="6"/>
        <v>147.3241391164683</v>
      </c>
      <c r="R39" s="30">
        <v>141.70376083168941</v>
      </c>
      <c r="S39" s="31"/>
      <c r="T39" s="22"/>
      <c r="U39" s="22"/>
    </row>
    <row r="40" spans="1:21" x14ac:dyDescent="0.2">
      <c r="A40" s="22"/>
      <c r="B40" s="68">
        <v>11</v>
      </c>
      <c r="C40" s="36" t="str">
        <f t="shared" ref="C40:Q40" si="7">IF($B40&lt;=C$35,($B$10*D39+$B$11*D40),"")</f>
        <v/>
      </c>
      <c r="D40" s="36" t="str">
        <f t="shared" si="7"/>
        <v/>
      </c>
      <c r="E40" s="36" t="str">
        <f t="shared" si="7"/>
        <v/>
      </c>
      <c r="F40" s="36" t="str">
        <f t="shared" si="7"/>
        <v/>
      </c>
      <c r="G40" s="36" t="str">
        <f t="shared" si="7"/>
        <v/>
      </c>
      <c r="H40" s="36" t="str">
        <f t="shared" si="7"/>
        <v/>
      </c>
      <c r="I40" s="36" t="str">
        <f t="shared" si="7"/>
        <v/>
      </c>
      <c r="J40" s="36" t="str">
        <f t="shared" si="7"/>
        <v/>
      </c>
      <c r="K40" s="36" t="str">
        <f t="shared" si="7"/>
        <v/>
      </c>
      <c r="L40" s="36" t="str">
        <f t="shared" si="7"/>
        <v/>
      </c>
      <c r="M40" s="36" t="str">
        <f t="shared" si="7"/>
        <v/>
      </c>
      <c r="N40" s="36">
        <f t="shared" si="7"/>
        <v>153.21850207480637</v>
      </c>
      <c r="O40" s="36">
        <f t="shared" si="7"/>
        <v>147.37325534842432</v>
      </c>
      <c r="P40" s="36">
        <f t="shared" si="7"/>
        <v>141.75100329193924</v>
      </c>
      <c r="Q40" s="36">
        <f t="shared" si="7"/>
        <v>136.34323871564123</v>
      </c>
      <c r="R40" s="30">
        <v>131.14177897693537</v>
      </c>
      <c r="S40" s="31"/>
      <c r="T40" s="22"/>
      <c r="U40" s="22"/>
    </row>
    <row r="41" spans="1:21" x14ac:dyDescent="0.2">
      <c r="A41" s="22"/>
      <c r="B41" s="68">
        <v>10</v>
      </c>
      <c r="C41" s="36" t="str">
        <f t="shared" ref="C41:Q41" si="8">IF($B41&lt;=C$35,($B$10*D40+$B$11*D41),"")</f>
        <v/>
      </c>
      <c r="D41" s="36" t="str">
        <f t="shared" si="8"/>
        <v/>
      </c>
      <c r="E41" s="36" t="str">
        <f t="shared" si="8"/>
        <v/>
      </c>
      <c r="F41" s="36" t="str">
        <f t="shared" si="8"/>
        <v/>
      </c>
      <c r="G41" s="36" t="str">
        <f t="shared" si="8"/>
        <v/>
      </c>
      <c r="H41" s="36" t="str">
        <f t="shared" si="8"/>
        <v/>
      </c>
      <c r="I41" s="36" t="str">
        <f t="shared" si="8"/>
        <v/>
      </c>
      <c r="J41" s="36" t="str">
        <f t="shared" si="8"/>
        <v/>
      </c>
      <c r="K41" s="36" t="str">
        <f t="shared" si="8"/>
        <v/>
      </c>
      <c r="L41" s="36" t="str">
        <f t="shared" si="8"/>
        <v/>
      </c>
      <c r="M41" s="36">
        <f t="shared" si="8"/>
        <v>147.42238795518665</v>
      </c>
      <c r="N41" s="36">
        <f t="shared" si="8"/>
        <v>141.7982615023007</v>
      </c>
      <c r="O41" s="36">
        <f t="shared" si="8"/>
        <v>136.38869403734583</v>
      </c>
      <c r="P41" s="36">
        <f t="shared" si="8"/>
        <v>131.18550018972496</v>
      </c>
      <c r="Q41" s="36">
        <f t="shared" si="8"/>
        <v>126.1808068586389</v>
      </c>
      <c r="R41" s="30">
        <v>121.36704130007335</v>
      </c>
      <c r="S41" s="31"/>
      <c r="T41" s="22"/>
      <c r="U41" s="22"/>
    </row>
    <row r="42" spans="1:21" x14ac:dyDescent="0.2">
      <c r="A42" s="22"/>
      <c r="B42" s="68">
        <v>9</v>
      </c>
      <c r="C42" s="36" t="str">
        <f t="shared" ref="C42:Q42" si="9">IF($B42&lt;=C$35,($B$10*D41+$B$11*D42),"")</f>
        <v/>
      </c>
      <c r="D42" s="36" t="str">
        <f t="shared" si="9"/>
        <v/>
      </c>
      <c r="E42" s="36" t="str">
        <f t="shared" si="9"/>
        <v/>
      </c>
      <c r="F42" s="36" t="str">
        <f t="shared" si="9"/>
        <v/>
      </c>
      <c r="G42" s="36" t="str">
        <f t="shared" si="9"/>
        <v/>
      </c>
      <c r="H42" s="36" t="str">
        <f t="shared" si="9"/>
        <v/>
      </c>
      <c r="I42" s="36" t="str">
        <f t="shared" si="9"/>
        <v/>
      </c>
      <c r="J42" s="36" t="str">
        <f t="shared" si="9"/>
        <v/>
      </c>
      <c r="K42" s="36" t="str">
        <f t="shared" si="9"/>
        <v/>
      </c>
      <c r="L42" s="36">
        <f t="shared" si="9"/>
        <v>141.84553546802465</v>
      </c>
      <c r="M42" s="36">
        <f t="shared" si="9"/>
        <v>136.43416451334991</v>
      </c>
      <c r="N42" s="36">
        <f t="shared" si="9"/>
        <v>131.22923597868137</v>
      </c>
      <c r="O42" s="36">
        <f t="shared" si="9"/>
        <v>126.22287413841553</v>
      </c>
      <c r="P42" s="36">
        <f t="shared" si="9"/>
        <v>121.40750372386935</v>
      </c>
      <c r="Q42" s="36">
        <f t="shared" si="9"/>
        <v>116.77583846092554</v>
      </c>
      <c r="R42" s="30">
        <v>112.32087004496371</v>
      </c>
      <c r="S42" s="31"/>
      <c r="T42" s="22"/>
      <c r="U42" s="22"/>
    </row>
    <row r="43" spans="1:21" x14ac:dyDescent="0.2">
      <c r="A43" s="22"/>
      <c r="B43" s="68">
        <v>8</v>
      </c>
      <c r="C43" s="36" t="str">
        <f t="shared" ref="C43:Q43" si="10">IF($B43&lt;=C$35,($B$10*D42+$B$11*D43),"")</f>
        <v/>
      </c>
      <c r="D43" s="36" t="str">
        <f t="shared" si="10"/>
        <v/>
      </c>
      <c r="E43" s="36" t="str">
        <f t="shared" si="10"/>
        <v/>
      </c>
      <c r="F43" s="36" t="str">
        <f t="shared" si="10"/>
        <v/>
      </c>
      <c r="G43" s="36" t="str">
        <f t="shared" si="10"/>
        <v/>
      </c>
      <c r="H43" s="36" t="str">
        <f t="shared" si="10"/>
        <v/>
      </c>
      <c r="I43" s="36" t="str">
        <f t="shared" si="10"/>
        <v/>
      </c>
      <c r="J43" s="36" t="str">
        <f t="shared" si="10"/>
        <v/>
      </c>
      <c r="K43" s="36">
        <f t="shared" si="10"/>
        <v>136.47965014870573</v>
      </c>
      <c r="L43" s="36">
        <f t="shared" si="10"/>
        <v>131.27298634866418</v>
      </c>
      <c r="M43" s="36">
        <f t="shared" si="10"/>
        <v>126.26495544295611</v>
      </c>
      <c r="N43" s="36">
        <f t="shared" si="10"/>
        <v>121.4479796373881</v>
      </c>
      <c r="O43" s="36">
        <f t="shared" si="10"/>
        <v>116.81477022867999</v>
      </c>
      <c r="P43" s="36">
        <f t="shared" si="10"/>
        <v>112.35831657572042</v>
      </c>
      <c r="Q43" s="36">
        <f t="shared" si="10"/>
        <v>108.07187549156615</v>
      </c>
      <c r="R43" s="30">
        <v>103.94896104013374</v>
      </c>
      <c r="S43" s="31"/>
      <c r="T43" s="22"/>
      <c r="U43" s="22"/>
    </row>
    <row r="44" spans="1:21" x14ac:dyDescent="0.2">
      <c r="A44" s="22"/>
      <c r="B44" s="68">
        <v>7</v>
      </c>
      <c r="C44" s="36" t="str">
        <f t="shared" ref="C44:Q44" si="11">IF($B44&lt;=C$35,($B$10*D43+$B$11*D44),"")</f>
        <v/>
      </c>
      <c r="D44" s="36" t="str">
        <f t="shared" si="11"/>
        <v/>
      </c>
      <c r="E44" s="36" t="str">
        <f t="shared" si="11"/>
        <v/>
      </c>
      <c r="F44" s="36" t="str">
        <f t="shared" si="11"/>
        <v/>
      </c>
      <c r="G44" s="36" t="str">
        <f t="shared" si="11"/>
        <v/>
      </c>
      <c r="H44" s="36" t="str">
        <f t="shared" si="11"/>
        <v/>
      </c>
      <c r="I44" s="36" t="str">
        <f t="shared" si="11"/>
        <v/>
      </c>
      <c r="J44" s="36">
        <f t="shared" si="11"/>
        <v>131.31675130453445</v>
      </c>
      <c r="K44" s="36">
        <f t="shared" si="11"/>
        <v>126.30705077693631</v>
      </c>
      <c r="L44" s="36">
        <f t="shared" si="11"/>
        <v>121.48846904512695</v>
      </c>
      <c r="M44" s="36">
        <f t="shared" si="11"/>
        <v>116.85371497585346</v>
      </c>
      <c r="N44" s="36">
        <f t="shared" si="11"/>
        <v>112.39577559073464</v>
      </c>
      <c r="O44" s="36">
        <f t="shared" si="11"/>
        <v>108.10790545472358</v>
      </c>
      <c r="P44" s="36">
        <f t="shared" si="11"/>
        <v>103.98361646939777</v>
      </c>
      <c r="Q44" s="36">
        <f t="shared" si="11"/>
        <v>100.01666805563269</v>
      </c>
      <c r="R44" s="30">
        <v>96.201057710803738</v>
      </c>
      <c r="S44" s="31"/>
      <c r="T44" s="22"/>
      <c r="U44" s="22"/>
    </row>
    <row r="45" spans="1:21" x14ac:dyDescent="0.2">
      <c r="A45" s="22"/>
      <c r="B45" s="68">
        <v>6</v>
      </c>
      <c r="C45" s="36" t="str">
        <f t="shared" ref="C45:Q45" si="12">IF($B45&lt;=C$35,($B$10*D44+$B$11*D45),"")</f>
        <v/>
      </c>
      <c r="D45" s="36" t="str">
        <f t="shared" si="12"/>
        <v/>
      </c>
      <c r="E45" s="36" t="str">
        <f t="shared" si="12"/>
        <v/>
      </c>
      <c r="F45" s="36" t="str">
        <f t="shared" si="12"/>
        <v/>
      </c>
      <c r="G45" s="36" t="str">
        <f t="shared" si="12"/>
        <v/>
      </c>
      <c r="H45" s="36" t="str">
        <f t="shared" si="12"/>
        <v/>
      </c>
      <c r="I45" s="36">
        <f t="shared" si="12"/>
        <v>126.34916014503338</v>
      </c>
      <c r="J45" s="36">
        <f t="shared" si="12"/>
        <v>121.52897195158468</v>
      </c>
      <c r="K45" s="36">
        <f t="shared" si="12"/>
        <v>116.89267270677318</v>
      </c>
      <c r="L45" s="36">
        <f t="shared" si="12"/>
        <v>112.43324709416851</v>
      </c>
      <c r="M45" s="36">
        <f t="shared" si="12"/>
        <v>108.14394742987061</v>
      </c>
      <c r="N45" s="36">
        <f t="shared" si="12"/>
        <v>104.01828345239707</v>
      </c>
      <c r="O45" s="36">
        <f t="shared" si="12"/>
        <v>100.05001250208356</v>
      </c>
      <c r="P45" s="36">
        <f t="shared" si="12"/>
        <v>96.233130075137751</v>
      </c>
      <c r="Q45" s="36">
        <f t="shared" si="12"/>
        <v>92.561860738053625</v>
      </c>
      <c r="R45" s="30">
        <v>89.030649388638508</v>
      </c>
      <c r="S45" s="31"/>
      <c r="T45" s="22"/>
      <c r="U45" s="22"/>
    </row>
    <row r="46" spans="1:21" x14ac:dyDescent="0.2">
      <c r="A46" s="22"/>
      <c r="B46" s="68">
        <v>5</v>
      </c>
      <c r="C46" s="36" t="str">
        <f t="shared" ref="C46:Q46" si="13">IF($B46&lt;=C$35,($B$10*D45+$B$11*D46),"")</f>
        <v/>
      </c>
      <c r="D46" s="36" t="str">
        <f t="shared" si="13"/>
        <v/>
      </c>
      <c r="E46" s="36" t="str">
        <f t="shared" si="13"/>
        <v/>
      </c>
      <c r="F46" s="36" t="str">
        <f t="shared" si="13"/>
        <v/>
      </c>
      <c r="G46" s="36" t="str">
        <f t="shared" si="13"/>
        <v/>
      </c>
      <c r="H46" s="36">
        <f t="shared" si="13"/>
        <v>121.56948836126168</v>
      </c>
      <c r="I46" s="36">
        <f t="shared" si="13"/>
        <v>116.93164342576776</v>
      </c>
      <c r="J46" s="36">
        <f t="shared" si="13"/>
        <v>112.4707310901855</v>
      </c>
      <c r="K46" s="36">
        <f t="shared" si="13"/>
        <v>108.18000142101192</v>
      </c>
      <c r="L46" s="36">
        <f t="shared" si="13"/>
        <v>104.05296199298353</v>
      </c>
      <c r="M46" s="36">
        <f t="shared" si="13"/>
        <v>100.08336806520259</v>
      </c>
      <c r="N46" s="36">
        <f t="shared" si="13"/>
        <v>96.265213132041879</v>
      </c>
      <c r="O46" s="36">
        <f t="shared" si="13"/>
        <v>92.592719834529987</v>
      </c>
      <c r="P46" s="36">
        <f t="shared" si="13"/>
        <v>89.060331218464853</v>
      </c>
      <c r="Q46" s="36">
        <f t="shared" si="13"/>
        <v>85.662702326028153</v>
      </c>
      <c r="R46" s="30">
        <v>82.394692108177395</v>
      </c>
      <c r="S46" s="31"/>
      <c r="T46" s="22"/>
      <c r="U46" s="22"/>
    </row>
    <row r="47" spans="1:21" x14ac:dyDescent="0.2">
      <c r="A47" s="22"/>
      <c r="B47" s="68">
        <v>4</v>
      </c>
      <c r="C47" s="36" t="str">
        <f t="shared" ref="C47:Q47" si="14">IF($B47&lt;=C$35,($B$10*D46+$B$11*D47),"")</f>
        <v/>
      </c>
      <c r="D47" s="36" t="str">
        <f t="shared" si="14"/>
        <v/>
      </c>
      <c r="E47" s="36" t="str">
        <f t="shared" si="14"/>
        <v/>
      </c>
      <c r="F47" s="36" t="str">
        <f t="shared" si="14"/>
        <v/>
      </c>
      <c r="G47" s="36">
        <f t="shared" si="14"/>
        <v>116.97062713716727</v>
      </c>
      <c r="H47" s="36">
        <f t="shared" si="14"/>
        <v>112.50822758295047</v>
      </c>
      <c r="I47" s="36">
        <f t="shared" si="14"/>
        <v>108.21606743215349</v>
      </c>
      <c r="J47" s="36">
        <f t="shared" si="14"/>
        <v>104.08765209501031</v>
      </c>
      <c r="K47" s="36">
        <f t="shared" si="14"/>
        <v>100.11673474869595</v>
      </c>
      <c r="L47" s="36">
        <f t="shared" si="14"/>
        <v>96.2973068850809</v>
      </c>
      <c r="M47" s="36">
        <f t="shared" si="14"/>
        <v>92.623589219086412</v>
      </c>
      <c r="N47" s="36">
        <f t="shared" si="14"/>
        <v>89.090022943883639</v>
      </c>
      <c r="O47" s="36">
        <f t="shared" si="14"/>
        <v>85.691261319704665</v>
      </c>
      <c r="P47" s="36">
        <f t="shared" si="14"/>
        <v>82.422161583538312</v>
      </c>
      <c r="Q47" s="36">
        <f t="shared" si="14"/>
        <v>79.277777167468969</v>
      </c>
      <c r="R47" s="30">
        <v>76.253350213883778</v>
      </c>
      <c r="S47" s="31"/>
      <c r="T47" s="22"/>
      <c r="U47" s="22"/>
    </row>
    <row r="48" spans="1:21" x14ac:dyDescent="0.2">
      <c r="A48" s="22"/>
      <c r="B48" s="68">
        <v>3</v>
      </c>
      <c r="C48" s="36" t="str">
        <f t="shared" ref="C48:Q48" si="15">IF($B48&lt;=C$35,($B$10*D47+$B$11*D48),"")</f>
        <v/>
      </c>
      <c r="D48" s="36" t="str">
        <f t="shared" si="15"/>
        <v/>
      </c>
      <c r="E48" s="36" t="str">
        <f t="shared" si="15"/>
        <v/>
      </c>
      <c r="F48" s="36">
        <f t="shared" si="15"/>
        <v>112.54573657662975</v>
      </c>
      <c r="G48" s="36">
        <f t="shared" si="15"/>
        <v>108.25214546730267</v>
      </c>
      <c r="H48" s="36">
        <f t="shared" si="15"/>
        <v>104.12235376233188</v>
      </c>
      <c r="I48" s="36">
        <f t="shared" si="15"/>
        <v>100.15011255627104</v>
      </c>
      <c r="J48" s="36">
        <f t="shared" si="15"/>
        <v>96.329411337820773</v>
      </c>
      <c r="K48" s="36">
        <f t="shared" si="15"/>
        <v>92.65446889515286</v>
      </c>
      <c r="L48" s="36">
        <f t="shared" si="15"/>
        <v>89.119724568193959</v>
      </c>
      <c r="M48" s="36">
        <f t="shared" si="15"/>
        <v>85.71982983463252</v>
      </c>
      <c r="N48" s="36">
        <f t="shared" si="15"/>
        <v>82.449640216917274</v>
      </c>
      <c r="O48" s="36">
        <f t="shared" si="15"/>
        <v>79.304207498001801</v>
      </c>
      <c r="P48" s="36">
        <f t="shared" si="15"/>
        <v>76.278772234056362</v>
      </c>
      <c r="Q48" s="36">
        <f t="shared" si="15"/>
        <v>73.368756552817871</v>
      </c>
      <c r="R48" s="30">
        <v>70.56975722668102</v>
      </c>
      <c r="S48" s="31"/>
      <c r="T48" s="22"/>
      <c r="U48" s="22"/>
    </row>
    <row r="49" spans="1:21" x14ac:dyDescent="0.2">
      <c r="A49" s="22"/>
      <c r="B49" s="68">
        <v>2</v>
      </c>
      <c r="C49" s="36" t="str">
        <f t="shared" ref="C49:Q49" si="16">IF($B49&lt;=C$35,($B$10*D48+$B$11*D49),"")</f>
        <v/>
      </c>
      <c r="D49" s="36" t="str">
        <f t="shared" si="16"/>
        <v/>
      </c>
      <c r="E49" s="36">
        <f t="shared" si="16"/>
        <v>108.28823553046811</v>
      </c>
      <c r="F49" s="36">
        <f t="shared" si="16"/>
        <v>104.15706699880397</v>
      </c>
      <c r="G49" s="36">
        <f t="shared" si="16"/>
        <v>100.18350149163652</v>
      </c>
      <c r="H49" s="36">
        <f t="shared" si="16"/>
        <v>96.361526493828677</v>
      </c>
      <c r="I49" s="36">
        <f t="shared" si="16"/>
        <v>92.685358866160385</v>
      </c>
      <c r="J49" s="36">
        <f t="shared" si="16"/>
        <v>89.149436094696</v>
      </c>
      <c r="K49" s="36">
        <f t="shared" si="16"/>
        <v>85.748407873986011</v>
      </c>
      <c r="L49" s="36">
        <f t="shared" si="16"/>
        <v>82.477128011367483</v>
      </c>
      <c r="M49" s="36">
        <f t="shared" si="16"/>
        <v>79.330646640113358</v>
      </c>
      <c r="N49" s="36">
        <f t="shared" si="16"/>
        <v>76.304202729648182</v>
      </c>
      <c r="O49" s="36">
        <f t="shared" si="16"/>
        <v>73.393216881497096</v>
      </c>
      <c r="P49" s="36">
        <f t="shared" si="16"/>
        <v>70.593284400067631</v>
      </c>
      <c r="Q49" s="36">
        <f t="shared" si="16"/>
        <v>67.900168627779294</v>
      </c>
      <c r="R49" s="30">
        <v>65.309794534456415</v>
      </c>
      <c r="S49" s="31"/>
      <c r="T49" s="22"/>
      <c r="U49" s="22"/>
    </row>
    <row r="50" spans="1:21" x14ac:dyDescent="0.2">
      <c r="A50" s="22"/>
      <c r="B50" s="68">
        <v>1</v>
      </c>
      <c r="C50" s="36" t="str">
        <f t="shared" ref="C50:Q50" si="17">IF($B50&lt;=C$35,($B$10*D49+$B$11*D50),"")</f>
        <v/>
      </c>
      <c r="D50" s="36">
        <f t="shared" si="17"/>
        <v>104.19179180828363</v>
      </c>
      <c r="E50" s="36">
        <f t="shared" si="17"/>
        <v>100.21690155850229</v>
      </c>
      <c r="F50" s="36">
        <f t="shared" si="17"/>
        <v>96.393652356672959</v>
      </c>
      <c r="G50" s="36">
        <f t="shared" si="17"/>
        <v>92.716259135541208</v>
      </c>
      <c r="H50" s="36">
        <f t="shared" si="17"/>
        <v>89.179157526691029</v>
      </c>
      <c r="I50" s="36">
        <f t="shared" si="17"/>
        <v>85.776995440940453</v>
      </c>
      <c r="J50" s="36">
        <f t="shared" si="17"/>
        <v>82.50462496994308</v>
      </c>
      <c r="K50" s="36">
        <f t="shared" si="17"/>
        <v>79.357094596741263</v>
      </c>
      <c r="L50" s="36">
        <f t="shared" si="17"/>
        <v>76.32964170348481</v>
      </c>
      <c r="M50" s="36">
        <f t="shared" si="17"/>
        <v>73.417685364978283</v>
      </c>
      <c r="N50" s="36">
        <f t="shared" si="17"/>
        <v>70.616819417152584</v>
      </c>
      <c r="O50" s="36">
        <f t="shared" si="17"/>
        <v>67.922805789972656</v>
      </c>
      <c r="P50" s="36">
        <f t="shared" si="17"/>
        <v>65.331568094692997</v>
      </c>
      <c r="Q50" s="36">
        <f t="shared" si="17"/>
        <v>62.839185455757757</v>
      </c>
      <c r="R50" s="30">
        <v>60.441886578012237</v>
      </c>
      <c r="S50" s="31"/>
      <c r="T50" s="22"/>
      <c r="U50" s="22"/>
    </row>
    <row r="51" spans="1:21" x14ac:dyDescent="0.2">
      <c r="A51" s="22"/>
      <c r="B51" s="68">
        <v>0</v>
      </c>
      <c r="C51" s="36">
        <f t="shared" ref="C51:P51" si="18">IF($B51&lt;=C$35,($B$10*D50+$B$11*D51),"")</f>
        <v>100.25031276057942</v>
      </c>
      <c r="D51" s="36">
        <f t="shared" si="18"/>
        <v>96.425788929923158</v>
      </c>
      <c r="E51" s="36">
        <f t="shared" si="18"/>
        <v>92.747169706728712</v>
      </c>
      <c r="F51" s="36">
        <f t="shared" si="18"/>
        <v>89.20888886748142</v>
      </c>
      <c r="G51" s="36">
        <f t="shared" si="18"/>
        <v>85.805592538672272</v>
      </c>
      <c r="H51" s="36">
        <f t="shared" si="18"/>
        <v>82.532131095699327</v>
      </c>
      <c r="I51" s="36">
        <f t="shared" si="18"/>
        <v>79.383551370824208</v>
      </c>
      <c r="J51" s="36">
        <f t="shared" si="18"/>
        <v>76.355089158392815</v>
      </c>
      <c r="K51" s="36">
        <f t="shared" si="18"/>
        <v>73.442162005980123</v>
      </c>
      <c r="L51" s="36">
        <f t="shared" si="18"/>
        <v>70.640362280550875</v>
      </c>
      <c r="M51" s="36">
        <f t="shared" si="18"/>
        <v>67.945450499144499</v>
      </c>
      <c r="N51" s="36">
        <f t="shared" si="18"/>
        <v>65.353348913992775</v>
      </c>
      <c r="O51" s="36">
        <f t="shared" si="18"/>
        <v>62.860135342363463</v>
      </c>
      <c r="P51" s="36">
        <f t="shared" si="18"/>
        <v>60.462037231793957</v>
      </c>
      <c r="Q51" s="36">
        <f>IF($B51&lt;=Q$35,($B$10*R50+$B$11*R51),"")</f>
        <v>58.155425951734685</v>
      </c>
      <c r="R51" s="30">
        <v>55.936811302964898</v>
      </c>
      <c r="S51" s="31"/>
      <c r="T51" s="22"/>
      <c r="U51" s="22"/>
    </row>
    <row r="52" spans="1:21" ht="13.5" thickBot="1" x14ac:dyDescent="0.25">
      <c r="A52" s="28"/>
      <c r="B52" s="32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4"/>
      <c r="T52" s="28"/>
      <c r="U52" s="28"/>
    </row>
    <row r="54" spans="1:21" ht="13.5" thickBot="1" x14ac:dyDescent="0.25"/>
    <row r="55" spans="1:21" ht="13.5" thickBot="1" x14ac:dyDescent="0.25">
      <c r="A55" s="22"/>
      <c r="B55" s="72" t="s">
        <v>17</v>
      </c>
      <c r="C55" s="73"/>
      <c r="D55" s="74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4"/>
      <c r="T55" s="22"/>
      <c r="U55" s="22"/>
    </row>
    <row r="56" spans="1:21" x14ac:dyDescent="0.2">
      <c r="A56" s="22"/>
      <c r="B56" s="29"/>
      <c r="C56" s="69">
        <v>0</v>
      </c>
      <c r="D56" s="69">
        <v>1</v>
      </c>
      <c r="E56" s="69">
        <v>2</v>
      </c>
      <c r="F56" s="69">
        <v>3</v>
      </c>
      <c r="G56" s="69">
        <v>4</v>
      </c>
      <c r="H56" s="69">
        <v>5</v>
      </c>
      <c r="I56" s="69">
        <v>6</v>
      </c>
      <c r="J56" s="69">
        <v>7</v>
      </c>
      <c r="K56" s="69">
        <v>8</v>
      </c>
      <c r="L56" s="69">
        <v>9</v>
      </c>
      <c r="M56" s="69">
        <v>10</v>
      </c>
      <c r="N56" s="69">
        <v>11</v>
      </c>
      <c r="O56" s="69">
        <v>12</v>
      </c>
      <c r="P56" s="69">
        <v>13</v>
      </c>
      <c r="Q56" s="69">
        <v>14</v>
      </c>
      <c r="R56" s="69">
        <v>15</v>
      </c>
      <c r="S56" s="31"/>
      <c r="T56" s="22"/>
      <c r="U56" s="22"/>
    </row>
    <row r="57" spans="1:21" x14ac:dyDescent="0.2">
      <c r="A57" s="22"/>
      <c r="B57" s="68">
        <v>15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31"/>
      <c r="T57" s="22"/>
      <c r="U57" s="22"/>
    </row>
    <row r="58" spans="1:21" x14ac:dyDescent="0.2">
      <c r="A58" s="22"/>
      <c r="B58" s="68">
        <v>14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1"/>
      <c r="T58" s="22"/>
      <c r="U58" s="22"/>
    </row>
    <row r="59" spans="1:21" x14ac:dyDescent="0.2">
      <c r="A59" s="22"/>
      <c r="B59" s="68">
        <v>13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1"/>
      <c r="T59" s="22"/>
      <c r="U59" s="22"/>
    </row>
    <row r="60" spans="1:21" x14ac:dyDescent="0.2">
      <c r="A60" s="22"/>
      <c r="B60" s="68">
        <v>12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1"/>
      <c r="T60" s="22"/>
      <c r="U60" s="22"/>
    </row>
    <row r="61" spans="1:21" x14ac:dyDescent="0.2">
      <c r="A61" s="22"/>
      <c r="B61" s="68">
        <v>11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1"/>
      <c r="T61" s="22"/>
      <c r="U61" s="22"/>
    </row>
    <row r="62" spans="1:21" x14ac:dyDescent="0.2">
      <c r="A62" s="22"/>
      <c r="B62" s="68">
        <v>10</v>
      </c>
      <c r="C62" s="26" t="str">
        <f t="shared" ref="C62:L62" si="19">IF($B62&lt;=C$56,EXP(-$B$6 * $B$3/$B$5) * ($B$10 *D61 + $B$11 *D62),"")</f>
        <v/>
      </c>
      <c r="D62" s="26" t="str">
        <f t="shared" si="19"/>
        <v/>
      </c>
      <c r="E62" s="26" t="str">
        <f t="shared" si="19"/>
        <v/>
      </c>
      <c r="F62" s="26" t="str">
        <f t="shared" si="19"/>
        <v/>
      </c>
      <c r="G62" s="26" t="str">
        <f t="shared" si="19"/>
        <v/>
      </c>
      <c r="H62" s="26" t="str">
        <f t="shared" si="19"/>
        <v/>
      </c>
      <c r="I62" s="26" t="str">
        <f t="shared" si="19"/>
        <v/>
      </c>
      <c r="J62" s="26" t="str">
        <f t="shared" si="19"/>
        <v/>
      </c>
      <c r="K62" s="26" t="str">
        <f t="shared" si="19"/>
        <v/>
      </c>
      <c r="L62" s="26" t="str">
        <f t="shared" si="19"/>
        <v/>
      </c>
      <c r="M62" s="30">
        <f>MAX($L$2*(M41-$L$3), 0)</f>
        <v>37.42238795518665</v>
      </c>
      <c r="N62" s="30"/>
      <c r="O62" s="30"/>
      <c r="P62" s="30"/>
      <c r="Q62" s="30"/>
      <c r="R62" s="30"/>
      <c r="S62" s="31"/>
      <c r="T62" s="22"/>
      <c r="U62" s="22"/>
    </row>
    <row r="63" spans="1:21" x14ac:dyDescent="0.2">
      <c r="A63" s="22"/>
      <c r="B63" s="68">
        <v>9</v>
      </c>
      <c r="C63" s="26" t="str">
        <f t="shared" ref="C63:L63" si="20">IF($B63&lt;=C$56,EXP(-$B$6 * $B$3/$B$5) * ($B$10 *D62 + $B$11 *D63),"")</f>
        <v/>
      </c>
      <c r="D63" s="26" t="str">
        <f t="shared" si="20"/>
        <v/>
      </c>
      <c r="E63" s="26" t="str">
        <f t="shared" si="20"/>
        <v/>
      </c>
      <c r="F63" s="26" t="str">
        <f t="shared" si="20"/>
        <v/>
      </c>
      <c r="G63" s="26" t="str">
        <f t="shared" si="20"/>
        <v/>
      </c>
      <c r="H63" s="26" t="str">
        <f t="shared" si="20"/>
        <v/>
      </c>
      <c r="I63" s="26" t="str">
        <f t="shared" si="20"/>
        <v/>
      </c>
      <c r="J63" s="26" t="str">
        <f t="shared" si="20"/>
        <v/>
      </c>
      <c r="K63" s="26" t="str">
        <f t="shared" si="20"/>
        <v/>
      </c>
      <c r="L63" s="26">
        <f t="shared" si="20"/>
        <v>31.834922058535199</v>
      </c>
      <c r="M63" s="30">
        <f t="shared" ref="M63:M71" si="21">MAX($L$2*(M42-$L$3), 0)</f>
        <v>26.434164513349913</v>
      </c>
      <c r="N63" s="30"/>
      <c r="O63" s="30"/>
      <c r="P63" s="30"/>
      <c r="Q63" s="30"/>
      <c r="R63" s="30"/>
      <c r="S63" s="31"/>
      <c r="T63" s="22"/>
      <c r="U63" s="22"/>
    </row>
    <row r="64" spans="1:21" x14ac:dyDescent="0.2">
      <c r="A64" s="22"/>
      <c r="B64" s="68">
        <v>8</v>
      </c>
      <c r="C64" s="26" t="str">
        <f t="shared" ref="C64:L64" si="22">IF($B64&lt;=C$56,EXP(-$B$6 * $B$3/$B$5) * ($B$10 *D63 + $B$11 *D64),"")</f>
        <v/>
      </c>
      <c r="D64" s="26" t="str">
        <f t="shared" si="22"/>
        <v/>
      </c>
      <c r="E64" s="26" t="str">
        <f t="shared" si="22"/>
        <v/>
      </c>
      <c r="F64" s="26" t="str">
        <f t="shared" si="22"/>
        <v/>
      </c>
      <c r="G64" s="26" t="str">
        <f t="shared" si="22"/>
        <v/>
      </c>
      <c r="H64" s="26" t="str">
        <f t="shared" si="22"/>
        <v/>
      </c>
      <c r="I64" s="26" t="str">
        <f t="shared" si="22"/>
        <v/>
      </c>
      <c r="J64" s="26" t="str">
        <f t="shared" si="22"/>
        <v/>
      </c>
      <c r="K64" s="26">
        <f t="shared" si="22"/>
        <v>26.462002931665914</v>
      </c>
      <c r="L64" s="26">
        <f t="shared" si="22"/>
        <v>21.265896534915893</v>
      </c>
      <c r="M64" s="30">
        <f t="shared" si="21"/>
        <v>16.264955442956108</v>
      </c>
      <c r="N64" s="30"/>
      <c r="O64" s="30"/>
      <c r="P64" s="30"/>
      <c r="Q64" s="30"/>
      <c r="R64" s="30"/>
      <c r="S64" s="31"/>
      <c r="T64" s="22"/>
      <c r="U64" s="22"/>
    </row>
    <row r="65" spans="1:21" x14ac:dyDescent="0.2">
      <c r="A65" s="22"/>
      <c r="B65" s="68">
        <v>7</v>
      </c>
      <c r="C65" s="26" t="str">
        <f t="shared" ref="C65:L65" si="23">IF($B65&lt;=C$56,EXP(-$B$6 * $B$3/$B$5) * ($B$10 *D64 + $B$11 *D65),"")</f>
        <v/>
      </c>
      <c r="D65" s="26" t="str">
        <f t="shared" si="23"/>
        <v/>
      </c>
      <c r="E65" s="26" t="str">
        <f t="shared" si="23"/>
        <v/>
      </c>
      <c r="F65" s="26" t="str">
        <f t="shared" si="23"/>
        <v/>
      </c>
      <c r="G65" s="26" t="str">
        <f t="shared" si="23"/>
        <v/>
      </c>
      <c r="H65" s="26" t="str">
        <f t="shared" si="23"/>
        <v/>
      </c>
      <c r="I65" s="26" t="str">
        <f t="shared" si="23"/>
        <v/>
      </c>
      <c r="J65" s="26">
        <f t="shared" si="23"/>
        <v>21.295445208053703</v>
      </c>
      <c r="K65" s="26">
        <f t="shared" si="23"/>
        <v>16.296183032735609</v>
      </c>
      <c r="L65" s="26">
        <f t="shared" si="23"/>
        <v>11.484640193622605</v>
      </c>
      <c r="M65" s="30">
        <f t="shared" si="21"/>
        <v>6.8537149758534639</v>
      </c>
      <c r="N65" s="30"/>
      <c r="O65" s="30"/>
      <c r="P65" s="30"/>
      <c r="Q65" s="30"/>
      <c r="R65" s="30"/>
      <c r="S65" s="31"/>
      <c r="T65" s="22"/>
      <c r="U65" s="22"/>
    </row>
    <row r="66" spans="1:21" x14ac:dyDescent="0.2">
      <c r="A66" s="22"/>
      <c r="B66" s="68">
        <v>6</v>
      </c>
      <c r="C66" s="26" t="str">
        <f t="shared" ref="C66:L66" si="24">IF($B66&lt;=C$56,EXP(-$B$6 * $B$3/$B$5) * ($B$10 *D65 + $B$11 *D66),"")</f>
        <v/>
      </c>
      <c r="D66" s="26" t="str">
        <f t="shared" si="24"/>
        <v/>
      </c>
      <c r="E66" s="26" t="str">
        <f t="shared" si="24"/>
        <v/>
      </c>
      <c r="F66" s="26" t="str">
        <f t="shared" si="24"/>
        <v/>
      </c>
      <c r="G66" s="26" t="str">
        <f t="shared" si="24"/>
        <v/>
      </c>
      <c r="H66" s="26" t="str">
        <f t="shared" si="24"/>
        <v/>
      </c>
      <c r="I66" s="26">
        <f t="shared" si="24"/>
        <v>16.450362424502114</v>
      </c>
      <c r="J66" s="26">
        <f t="shared" si="24"/>
        <v>11.759853424052412</v>
      </c>
      <c r="K66" s="26">
        <f t="shared" si="24"/>
        <v>7.3658548625041904</v>
      </c>
      <c r="L66" s="26">
        <f t="shared" si="24"/>
        <v>3.3741244654971667</v>
      </c>
      <c r="M66" s="30">
        <f t="shared" si="21"/>
        <v>0</v>
      </c>
      <c r="N66" s="30"/>
      <c r="O66" s="30"/>
      <c r="P66" s="30"/>
      <c r="Q66" s="30"/>
      <c r="R66" s="30"/>
      <c r="S66" s="31"/>
      <c r="T66" s="22"/>
      <c r="U66" s="22"/>
    </row>
    <row r="67" spans="1:21" x14ac:dyDescent="0.2">
      <c r="A67" s="22"/>
      <c r="B67" s="68">
        <v>5</v>
      </c>
      <c r="C67" s="26" t="str">
        <f t="shared" ref="C67:L67" si="25">IF($B67&lt;=C$56,EXP(-$B$6 * $B$3/$B$5) * ($B$10 *D66 + $B$11 *D67),"")</f>
        <v/>
      </c>
      <c r="D67" s="26" t="str">
        <f t="shared" si="25"/>
        <v/>
      </c>
      <c r="E67" s="26" t="str">
        <f t="shared" si="25"/>
        <v/>
      </c>
      <c r="F67" s="26" t="str">
        <f t="shared" si="25"/>
        <v/>
      </c>
      <c r="G67" s="26" t="str">
        <f t="shared" si="25"/>
        <v/>
      </c>
      <c r="H67" s="26">
        <f t="shared" si="25"/>
        <v>12.186344244990572</v>
      </c>
      <c r="I67" s="26">
        <f t="shared" si="25"/>
        <v>8.0568569911563781</v>
      </c>
      <c r="J67" s="26">
        <f t="shared" si="25"/>
        <v>4.46903172811255</v>
      </c>
      <c r="K67" s="26">
        <f t="shared" si="25"/>
        <v>1.6611014535586008</v>
      </c>
      <c r="L67" s="26">
        <f t="shared" si="25"/>
        <v>0</v>
      </c>
      <c r="M67" s="30">
        <f t="shared" si="21"/>
        <v>0</v>
      </c>
      <c r="N67" s="30"/>
      <c r="O67" s="30"/>
      <c r="P67" s="30"/>
      <c r="Q67" s="30"/>
      <c r="R67" s="30"/>
      <c r="S67" s="31"/>
      <c r="T67" s="22"/>
      <c r="U67" s="22"/>
    </row>
    <row r="68" spans="1:21" x14ac:dyDescent="0.2">
      <c r="A68" s="22"/>
      <c r="B68" s="68">
        <v>4</v>
      </c>
      <c r="C68" s="26" t="str">
        <f t="shared" ref="C68:L68" si="26">IF($B68&lt;=C$56,EXP(-$B$6 * $B$3/$B$5) * ($B$10 *D67 + $B$11 *D68),"")</f>
        <v/>
      </c>
      <c r="D68" s="26" t="str">
        <f t="shared" si="26"/>
        <v/>
      </c>
      <c r="E68" s="26" t="str">
        <f t="shared" si="26"/>
        <v/>
      </c>
      <c r="F68" s="26" t="str">
        <f t="shared" si="26"/>
        <v/>
      </c>
      <c r="G68" s="26">
        <f t="shared" si="26"/>
        <v>8.6849740527805022</v>
      </c>
      <c r="H68" s="26">
        <f t="shared" si="26"/>
        <v>5.2932047906355981</v>
      </c>
      <c r="I68" s="26">
        <f t="shared" si="26"/>
        <v>2.6150352657138383</v>
      </c>
      <c r="J68" s="26">
        <f t="shared" si="26"/>
        <v>0.81777008146257835</v>
      </c>
      <c r="K68" s="26">
        <f t="shared" si="26"/>
        <v>0</v>
      </c>
      <c r="L68" s="26">
        <f t="shared" si="26"/>
        <v>0</v>
      </c>
      <c r="M68" s="30">
        <f t="shared" si="21"/>
        <v>0</v>
      </c>
      <c r="N68" s="30"/>
      <c r="O68" s="30"/>
      <c r="P68" s="30"/>
      <c r="Q68" s="30"/>
      <c r="R68" s="30"/>
      <c r="S68" s="31"/>
      <c r="T68" s="22"/>
      <c r="U68" s="22"/>
    </row>
    <row r="69" spans="1:21" x14ac:dyDescent="0.2">
      <c r="A69" s="22"/>
      <c r="B69" s="68">
        <v>3</v>
      </c>
      <c r="C69" s="26" t="str">
        <f t="shared" ref="C69:L69" si="27">IF($B69&lt;=C$56,EXP(-$B$6 * $B$3/$B$5) * ($B$10 *D68 + $B$11 *D69),"")</f>
        <v/>
      </c>
      <c r="D69" s="26" t="str">
        <f t="shared" si="27"/>
        <v/>
      </c>
      <c r="E69" s="26" t="str">
        <f t="shared" si="27"/>
        <v/>
      </c>
      <c r="F69" s="26">
        <f t="shared" si="27"/>
        <v>5.9817584502047074</v>
      </c>
      <c r="G69" s="26">
        <f t="shared" si="27"/>
        <v>3.3626844932000735</v>
      </c>
      <c r="H69" s="26">
        <f t="shared" si="27"/>
        <v>1.4916572797113661</v>
      </c>
      <c r="I69" s="26">
        <f t="shared" si="27"/>
        <v>0.40259305336386531</v>
      </c>
      <c r="J69" s="26">
        <f t="shared" si="27"/>
        <v>0</v>
      </c>
      <c r="K69" s="26">
        <f t="shared" si="27"/>
        <v>0</v>
      </c>
      <c r="L69" s="26">
        <f t="shared" si="27"/>
        <v>0</v>
      </c>
      <c r="M69" s="30">
        <f t="shared" si="21"/>
        <v>0</v>
      </c>
      <c r="N69" s="30"/>
      <c r="O69" s="30"/>
      <c r="P69" s="30"/>
      <c r="Q69" s="30"/>
      <c r="R69" s="30"/>
      <c r="S69" s="31"/>
      <c r="T69" s="22"/>
      <c r="U69" s="22"/>
    </row>
    <row r="70" spans="1:21" x14ac:dyDescent="0.2">
      <c r="A70" s="22"/>
      <c r="B70" s="68">
        <v>2</v>
      </c>
      <c r="C70" s="26" t="str">
        <f t="shared" ref="C70:L70" si="28">IF($B70&lt;=C$56,EXP(-$B$6 * $B$3/$B$5) * ($B$10 *D69 + $B$11 *D70),"")</f>
        <v/>
      </c>
      <c r="D70" s="26" t="str">
        <f t="shared" si="28"/>
        <v/>
      </c>
      <c r="E70" s="26">
        <f t="shared" si="28"/>
        <v>3.9996937949637568</v>
      </c>
      <c r="F70" s="26">
        <f t="shared" si="28"/>
        <v>2.0790701375576806</v>
      </c>
      <c r="G70" s="26">
        <f t="shared" si="28"/>
        <v>0.83491008633975416</v>
      </c>
      <c r="H70" s="26">
        <f t="shared" si="28"/>
        <v>0.19819894404422159</v>
      </c>
      <c r="I70" s="26">
        <f t="shared" si="28"/>
        <v>0</v>
      </c>
      <c r="J70" s="26">
        <f t="shared" si="28"/>
        <v>0</v>
      </c>
      <c r="K70" s="26">
        <f t="shared" si="28"/>
        <v>0</v>
      </c>
      <c r="L70" s="26">
        <f t="shared" si="28"/>
        <v>0</v>
      </c>
      <c r="M70" s="30">
        <f t="shared" si="21"/>
        <v>0</v>
      </c>
      <c r="N70" s="30"/>
      <c r="O70" s="30"/>
      <c r="P70" s="30"/>
      <c r="Q70" s="30"/>
      <c r="R70" s="30"/>
      <c r="S70" s="31"/>
      <c r="T70" s="22"/>
      <c r="U70" s="22"/>
    </row>
    <row r="71" spans="1:21" x14ac:dyDescent="0.2">
      <c r="A71" s="22"/>
      <c r="B71" s="68">
        <v>1</v>
      </c>
      <c r="C71" s="26" t="str">
        <f t="shared" ref="C71:L71" si="29">IF($B71&lt;=C$56,EXP(-$B$6 * $B$3/$B$5) * ($B$10 *D70 + $B$11 *D71),"")</f>
        <v/>
      </c>
      <c r="D71" s="26">
        <f t="shared" si="29"/>
        <v>2.6069253086966464</v>
      </c>
      <c r="E71" s="26">
        <f t="shared" si="29"/>
        <v>1.2571967895522487</v>
      </c>
      <c r="F71" s="26">
        <f t="shared" si="29"/>
        <v>0.46053666270032806</v>
      </c>
      <c r="G71" s="26">
        <f t="shared" si="29"/>
        <v>9.7574513747857694E-2</v>
      </c>
      <c r="H71" s="26">
        <f t="shared" si="29"/>
        <v>0</v>
      </c>
      <c r="I71" s="26">
        <f t="shared" si="29"/>
        <v>0</v>
      </c>
      <c r="J71" s="26">
        <f t="shared" si="29"/>
        <v>0</v>
      </c>
      <c r="K71" s="26">
        <f t="shared" si="29"/>
        <v>0</v>
      </c>
      <c r="L71" s="26">
        <f t="shared" si="29"/>
        <v>0</v>
      </c>
      <c r="M71" s="30">
        <f t="shared" si="21"/>
        <v>0</v>
      </c>
      <c r="N71" s="30"/>
      <c r="O71" s="30"/>
      <c r="P71" s="30"/>
      <c r="Q71" s="30"/>
      <c r="R71" s="30"/>
      <c r="S71" s="31"/>
      <c r="T71" s="22"/>
      <c r="U71" s="22"/>
    </row>
    <row r="72" spans="1:21" x14ac:dyDescent="0.2">
      <c r="A72" s="22"/>
      <c r="B72" s="68">
        <v>0</v>
      </c>
      <c r="C72" s="26">
        <f t="shared" ref="C72:K72" si="30">IF($B72&lt;=C$56,EXP(-$B$6 * $B$3/$B$5) * ($B$10 *D71 + $B$11 *D72),"")</f>
        <v>1.6620593348072341</v>
      </c>
      <c r="D72" s="26">
        <f t="shared" si="30"/>
        <v>0.74632208138716616</v>
      </c>
      <c r="E72" s="26">
        <f t="shared" si="30"/>
        <v>0.25109676865825337</v>
      </c>
      <c r="F72" s="26">
        <f t="shared" si="30"/>
        <v>4.8036510885782618E-2</v>
      </c>
      <c r="G72" s="26">
        <f t="shared" si="30"/>
        <v>0</v>
      </c>
      <c r="H72" s="26">
        <f t="shared" si="30"/>
        <v>0</v>
      </c>
      <c r="I72" s="26">
        <f t="shared" si="30"/>
        <v>0</v>
      </c>
      <c r="J72" s="26">
        <f t="shared" si="30"/>
        <v>0</v>
      </c>
      <c r="K72" s="26">
        <f t="shared" si="30"/>
        <v>0</v>
      </c>
      <c r="L72" s="26">
        <f>IF($B72&lt;=L$56,EXP(-$B$6 * $B$3/$B$5) * ($B$10 *M71 + $B$11 *M72),"")</f>
        <v>0</v>
      </c>
      <c r="M72" s="30">
        <f>MAX($L$2*(M51-$L$3), 0)</f>
        <v>0</v>
      </c>
      <c r="N72" s="30"/>
      <c r="O72" s="30"/>
      <c r="P72" s="30"/>
      <c r="Q72" s="30"/>
      <c r="R72" s="30"/>
      <c r="S72" s="31"/>
      <c r="T72" s="22"/>
      <c r="U72" s="22"/>
    </row>
    <row r="73" spans="1:21" ht="13.5" thickBot="1" x14ac:dyDescent="0.25">
      <c r="A73" s="28"/>
      <c r="B73" s="32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4"/>
      <c r="T73" s="28"/>
      <c r="U73" s="28"/>
    </row>
    <row r="75" spans="1:21" ht="13.5" thickBot="1" x14ac:dyDescent="0.25"/>
    <row r="76" spans="1:21" ht="13.5" thickBot="1" x14ac:dyDescent="0.25">
      <c r="B76" s="72" t="s">
        <v>37</v>
      </c>
      <c r="C76" s="73"/>
      <c r="D76" s="74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4"/>
    </row>
    <row r="77" spans="1:21" x14ac:dyDescent="0.2">
      <c r="B77" s="29"/>
      <c r="C77" s="69">
        <v>0</v>
      </c>
      <c r="D77" s="69">
        <v>1</v>
      </c>
      <c r="E77" s="69">
        <v>2</v>
      </c>
      <c r="F77" s="69">
        <v>3</v>
      </c>
      <c r="G77" s="69">
        <v>4</v>
      </c>
      <c r="H77" s="69">
        <v>5</v>
      </c>
      <c r="I77" s="69">
        <v>6</v>
      </c>
      <c r="J77" s="69">
        <v>7</v>
      </c>
      <c r="K77" s="69">
        <v>8</v>
      </c>
      <c r="L77" s="69">
        <v>9</v>
      </c>
      <c r="M77" s="69">
        <v>10</v>
      </c>
      <c r="N77" s="69">
        <v>11</v>
      </c>
      <c r="O77" s="69">
        <v>12</v>
      </c>
      <c r="P77" s="69">
        <v>13</v>
      </c>
      <c r="Q77" s="69">
        <v>14</v>
      </c>
      <c r="R77" s="69">
        <v>15</v>
      </c>
      <c r="S77" s="31"/>
    </row>
    <row r="78" spans="1:21" x14ac:dyDescent="0.2">
      <c r="B78" s="68">
        <v>15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31"/>
    </row>
    <row r="79" spans="1:21" x14ac:dyDescent="0.2">
      <c r="B79" s="68">
        <v>14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1"/>
    </row>
    <row r="80" spans="1:21" x14ac:dyDescent="0.2">
      <c r="B80" s="68">
        <v>13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1"/>
    </row>
    <row r="81" spans="2:19" x14ac:dyDescent="0.2">
      <c r="B81" s="68">
        <v>12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1"/>
    </row>
    <row r="82" spans="2:19" x14ac:dyDescent="0.2">
      <c r="B82" s="68">
        <v>11</v>
      </c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1"/>
    </row>
    <row r="83" spans="2:19" x14ac:dyDescent="0.2">
      <c r="B83" s="68">
        <v>10</v>
      </c>
      <c r="C83" s="26" t="str">
        <f t="shared" ref="C83:L83" si="31">IF($B83&lt;=C$56,IF(C62&gt;(EXP(-$B$6 * $B$3/$B$5) * ($B$10 *D82 + $B$11 *D83)),1,0),"")</f>
        <v/>
      </c>
      <c r="D83" s="26" t="str">
        <f t="shared" si="31"/>
        <v/>
      </c>
      <c r="E83" s="26" t="str">
        <f t="shared" si="31"/>
        <v/>
      </c>
      <c r="F83" s="26" t="str">
        <f t="shared" si="31"/>
        <v/>
      </c>
      <c r="G83" s="26" t="str">
        <f t="shared" si="31"/>
        <v/>
      </c>
      <c r="H83" s="26" t="str">
        <f t="shared" si="31"/>
        <v/>
      </c>
      <c r="I83" s="26" t="str">
        <f t="shared" si="31"/>
        <v/>
      </c>
      <c r="J83" s="26" t="str">
        <f t="shared" si="31"/>
        <v/>
      </c>
      <c r="K83" s="26" t="str">
        <f t="shared" si="31"/>
        <v/>
      </c>
      <c r="L83" s="26" t="str">
        <f t="shared" si="31"/>
        <v/>
      </c>
      <c r="M83" s="30">
        <f>MAX($L$2*(M41-$L$3), 0)</f>
        <v>37.42238795518665</v>
      </c>
      <c r="N83" s="30"/>
      <c r="O83" s="30"/>
      <c r="P83" s="30"/>
      <c r="Q83" s="30"/>
      <c r="R83" s="30"/>
      <c r="S83" s="31"/>
    </row>
    <row r="84" spans="2:19" x14ac:dyDescent="0.2">
      <c r="B84" s="68">
        <v>9</v>
      </c>
      <c r="C84" s="26" t="str">
        <f t="shared" ref="C84:L84" si="32">IF($B84&lt;=C$56,IF(C63&gt;(EXP(-$B$6 * $B$3/$B$5) * ($B$10 *D83 + $B$11 *D84)),1,0),"")</f>
        <v/>
      </c>
      <c r="D84" s="26" t="str">
        <f t="shared" si="32"/>
        <v/>
      </c>
      <c r="E84" s="26" t="str">
        <f t="shared" si="32"/>
        <v/>
      </c>
      <c r="F84" s="26" t="str">
        <f t="shared" si="32"/>
        <v/>
      </c>
      <c r="G84" s="26" t="str">
        <f t="shared" si="32"/>
        <v/>
      </c>
      <c r="H84" s="26" t="str">
        <f t="shared" si="32"/>
        <v/>
      </c>
      <c r="I84" s="26" t="str">
        <f t="shared" si="32"/>
        <v/>
      </c>
      <c r="J84" s="26" t="str">
        <f t="shared" si="32"/>
        <v/>
      </c>
      <c r="K84" s="26" t="str">
        <f t="shared" si="32"/>
        <v/>
      </c>
      <c r="L84" s="26">
        <f t="shared" si="32"/>
        <v>0</v>
      </c>
      <c r="M84" s="30">
        <f t="shared" ref="M84:M93" si="33">MAX($L$2*(M42-$L$3), 0)</f>
        <v>26.434164513349913</v>
      </c>
      <c r="N84" s="30"/>
      <c r="O84" s="30"/>
      <c r="P84" s="30"/>
      <c r="Q84" s="30"/>
      <c r="R84" s="30"/>
      <c r="S84" s="31"/>
    </row>
    <row r="85" spans="2:19" x14ac:dyDescent="0.2">
      <c r="B85" s="68">
        <v>8</v>
      </c>
      <c r="C85" s="26" t="str">
        <f t="shared" ref="C85:K85" si="34">IF($B85&lt;=C$56,IF(C64&gt;(EXP(-$B$6 * $B$3/$B$5) * ($B$10 *D84 + $B$11 *D85)),1,0),"")</f>
        <v/>
      </c>
      <c r="D85" s="26" t="str">
        <f t="shared" si="34"/>
        <v/>
      </c>
      <c r="E85" s="26" t="str">
        <f t="shared" si="34"/>
        <v/>
      </c>
      <c r="F85" s="26" t="str">
        <f t="shared" si="34"/>
        <v/>
      </c>
      <c r="G85" s="26" t="str">
        <f t="shared" si="34"/>
        <v/>
      </c>
      <c r="H85" s="26" t="str">
        <f t="shared" si="34"/>
        <v/>
      </c>
      <c r="I85" s="26" t="str">
        <f t="shared" si="34"/>
        <v/>
      </c>
      <c r="J85" s="26" t="str">
        <f t="shared" si="34"/>
        <v/>
      </c>
      <c r="K85" s="26">
        <f t="shared" si="34"/>
        <v>1</v>
      </c>
      <c r="L85" s="26">
        <f>IF($B85&lt;=L$56,IF(L64&gt;(EXP(-$B$6 * $B$3/$B$5) * ($B$10 *M84 + $B$11 *M85)),1,0),"")</f>
        <v>0</v>
      </c>
      <c r="M85" s="30">
        <f t="shared" si="33"/>
        <v>16.264955442956108</v>
      </c>
      <c r="N85" s="30"/>
      <c r="O85" s="30"/>
      <c r="P85" s="30"/>
      <c r="Q85" s="30"/>
      <c r="R85" s="30"/>
      <c r="S85" s="31"/>
    </row>
    <row r="86" spans="2:19" x14ac:dyDescent="0.2">
      <c r="B86" s="68">
        <v>7</v>
      </c>
      <c r="C86" s="26" t="str">
        <f t="shared" ref="C86:L86" si="35">IF($B86&lt;=C$56,IF(C65&gt;(EXP(-$B$6 * $B$3/$B$5) * ($B$10 *D85 + $B$11 *D86)),1,0),"")</f>
        <v/>
      </c>
      <c r="D86" s="26" t="str">
        <f t="shared" si="35"/>
        <v/>
      </c>
      <c r="E86" s="26" t="str">
        <f t="shared" si="35"/>
        <v/>
      </c>
      <c r="F86" s="26" t="str">
        <f t="shared" si="35"/>
        <v/>
      </c>
      <c r="G86" s="26" t="str">
        <f t="shared" si="35"/>
        <v/>
      </c>
      <c r="H86" s="26" t="str">
        <f t="shared" si="35"/>
        <v/>
      </c>
      <c r="I86" s="26" t="str">
        <f t="shared" si="35"/>
        <v/>
      </c>
      <c r="J86" s="26">
        <f t="shared" si="35"/>
        <v>1</v>
      </c>
      <c r="K86" s="26">
        <f t="shared" si="35"/>
        <v>1</v>
      </c>
      <c r="L86" s="26">
        <f t="shared" si="35"/>
        <v>0</v>
      </c>
      <c r="M86" s="30">
        <f t="shared" si="33"/>
        <v>6.8537149758534639</v>
      </c>
      <c r="N86" s="30"/>
      <c r="O86" s="30"/>
      <c r="P86" s="30"/>
      <c r="Q86" s="30"/>
      <c r="R86" s="30"/>
      <c r="S86" s="31"/>
    </row>
    <row r="87" spans="2:19" x14ac:dyDescent="0.2">
      <c r="B87" s="68">
        <v>6</v>
      </c>
      <c r="C87" s="26" t="str">
        <f t="shared" ref="C87:L87" si="36">IF($B87&lt;=C$56,IF(C66&gt;(EXP(-$B$6 * $B$3/$B$5) * ($B$10 *D86 + $B$11 *D87)),1,0),"")</f>
        <v/>
      </c>
      <c r="D87" s="26" t="str">
        <f t="shared" si="36"/>
        <v/>
      </c>
      <c r="E87" s="26" t="str">
        <f t="shared" si="36"/>
        <v/>
      </c>
      <c r="F87" s="26" t="str">
        <f t="shared" si="36"/>
        <v/>
      </c>
      <c r="G87" s="26" t="str">
        <f t="shared" si="36"/>
        <v/>
      </c>
      <c r="H87" s="26" t="str">
        <f t="shared" si="36"/>
        <v/>
      </c>
      <c r="I87" s="26">
        <f t="shared" si="36"/>
        <v>1</v>
      </c>
      <c r="J87" s="26">
        <f t="shared" si="36"/>
        <v>1</v>
      </c>
      <c r="K87" s="26">
        <f t="shared" si="36"/>
        <v>1</v>
      </c>
      <c r="L87" s="26">
        <f t="shared" si="36"/>
        <v>0</v>
      </c>
      <c r="M87" s="30">
        <f t="shared" si="33"/>
        <v>0</v>
      </c>
      <c r="N87" s="30"/>
      <c r="O87" s="30"/>
      <c r="P87" s="30"/>
      <c r="Q87" s="30"/>
      <c r="R87" s="30"/>
      <c r="S87" s="31"/>
    </row>
    <row r="88" spans="2:19" x14ac:dyDescent="0.2">
      <c r="B88" s="68">
        <v>5</v>
      </c>
      <c r="C88" s="26" t="str">
        <f t="shared" ref="C88:L88" si="37">IF($B88&lt;=C$56,IF(C67&gt;(EXP(-$B$6 * $B$3/$B$5) * ($B$10 *D87 + $B$11 *D88)),1,0),"")</f>
        <v/>
      </c>
      <c r="D88" s="26" t="str">
        <f t="shared" si="37"/>
        <v/>
      </c>
      <c r="E88" s="26" t="str">
        <f t="shared" si="37"/>
        <v/>
      </c>
      <c r="F88" s="26" t="str">
        <f t="shared" si="37"/>
        <v/>
      </c>
      <c r="G88" s="26" t="str">
        <f t="shared" si="37"/>
        <v/>
      </c>
      <c r="H88" s="26">
        <f t="shared" si="37"/>
        <v>1</v>
      </c>
      <c r="I88" s="26">
        <f t="shared" si="37"/>
        <v>1</v>
      </c>
      <c r="J88" s="26">
        <f t="shared" si="37"/>
        <v>1</v>
      </c>
      <c r="K88" s="26">
        <f t="shared" si="37"/>
        <v>1</v>
      </c>
      <c r="L88" s="26">
        <f t="shared" si="37"/>
        <v>0</v>
      </c>
      <c r="M88" s="30">
        <f t="shared" si="33"/>
        <v>0</v>
      </c>
      <c r="N88" s="30"/>
      <c r="O88" s="30"/>
      <c r="P88" s="30"/>
      <c r="Q88" s="30"/>
      <c r="R88" s="30"/>
      <c r="S88" s="31"/>
    </row>
    <row r="89" spans="2:19" x14ac:dyDescent="0.2">
      <c r="B89" s="68">
        <v>4</v>
      </c>
      <c r="C89" s="26" t="str">
        <f t="shared" ref="C89:L89" si="38">IF($B89&lt;=C$56,IF(C68&gt;(EXP(-$B$6 * $B$3/$B$5) * ($B$10 *D88 + $B$11 *D89)),1,0),"")</f>
        <v/>
      </c>
      <c r="D89" s="26" t="str">
        <f t="shared" si="38"/>
        <v/>
      </c>
      <c r="E89" s="26" t="str">
        <f t="shared" si="38"/>
        <v/>
      </c>
      <c r="F89" s="26" t="str">
        <f t="shared" si="38"/>
        <v/>
      </c>
      <c r="G89" s="26">
        <f t="shared" si="38"/>
        <v>1</v>
      </c>
      <c r="H89" s="26">
        <f t="shared" si="38"/>
        <v>1</v>
      </c>
      <c r="I89" s="26">
        <f t="shared" si="38"/>
        <v>1</v>
      </c>
      <c r="J89" s="26">
        <f t="shared" si="38"/>
        <v>1</v>
      </c>
      <c r="K89" s="26">
        <f t="shared" si="38"/>
        <v>0</v>
      </c>
      <c r="L89" s="26">
        <f t="shared" si="38"/>
        <v>0</v>
      </c>
      <c r="M89" s="30">
        <f t="shared" si="33"/>
        <v>0</v>
      </c>
      <c r="N89" s="30"/>
      <c r="O89" s="30"/>
      <c r="P89" s="30"/>
      <c r="Q89" s="30"/>
      <c r="R89" s="30"/>
      <c r="S89" s="31"/>
    </row>
    <row r="90" spans="2:19" x14ac:dyDescent="0.2">
      <c r="B90" s="68">
        <v>3</v>
      </c>
      <c r="C90" s="26" t="str">
        <f t="shared" ref="C90:L90" si="39">IF($B90&lt;=C$56,IF(C69&gt;(EXP(-$B$6 * $B$3/$B$5) * ($B$10 *D89 + $B$11 *D90)),1,0),"")</f>
        <v/>
      </c>
      <c r="D90" s="26" t="str">
        <f t="shared" si="39"/>
        <v/>
      </c>
      <c r="E90" s="26" t="str">
        <f t="shared" si="39"/>
        <v/>
      </c>
      <c r="F90" s="26">
        <f t="shared" si="39"/>
        <v>1</v>
      </c>
      <c r="G90" s="26">
        <f t="shared" si="39"/>
        <v>1</v>
      </c>
      <c r="H90" s="26">
        <f t="shared" si="39"/>
        <v>1</v>
      </c>
      <c r="I90" s="26">
        <f t="shared" si="39"/>
        <v>0</v>
      </c>
      <c r="J90" s="26">
        <f t="shared" si="39"/>
        <v>0</v>
      </c>
      <c r="K90" s="26">
        <f t="shared" si="39"/>
        <v>0</v>
      </c>
      <c r="L90" s="26">
        <f t="shared" si="39"/>
        <v>0</v>
      </c>
      <c r="M90" s="30">
        <f t="shared" si="33"/>
        <v>0</v>
      </c>
      <c r="N90" s="30"/>
      <c r="O90" s="30"/>
      <c r="P90" s="30"/>
      <c r="Q90" s="30"/>
      <c r="R90" s="30"/>
      <c r="S90" s="31"/>
    </row>
    <row r="91" spans="2:19" x14ac:dyDescent="0.2">
      <c r="B91" s="68">
        <v>2</v>
      </c>
      <c r="C91" s="26" t="str">
        <f t="shared" ref="C91:L91" si="40">IF($B91&lt;=C$56,IF(C70&gt;(EXP(-$B$6 * $B$3/$B$5) * ($B$10 *D90 + $B$11 *D91)),1,0),"")</f>
        <v/>
      </c>
      <c r="D91" s="26" t="str">
        <f t="shared" si="40"/>
        <v/>
      </c>
      <c r="E91" s="26">
        <f t="shared" si="40"/>
        <v>1</v>
      </c>
      <c r="F91" s="26">
        <f t="shared" si="40"/>
        <v>1</v>
      </c>
      <c r="G91" s="26">
        <f t="shared" si="40"/>
        <v>0</v>
      </c>
      <c r="H91" s="26">
        <f t="shared" si="40"/>
        <v>1</v>
      </c>
      <c r="I91" s="26">
        <f t="shared" si="40"/>
        <v>0</v>
      </c>
      <c r="J91" s="26">
        <f t="shared" si="40"/>
        <v>0</v>
      </c>
      <c r="K91" s="26">
        <f t="shared" si="40"/>
        <v>0</v>
      </c>
      <c r="L91" s="26">
        <f t="shared" si="40"/>
        <v>0</v>
      </c>
      <c r="M91" s="30">
        <f t="shared" si="33"/>
        <v>0</v>
      </c>
      <c r="N91" s="30"/>
      <c r="O91" s="30"/>
      <c r="P91" s="30"/>
      <c r="Q91" s="30"/>
      <c r="R91" s="30"/>
      <c r="S91" s="31"/>
    </row>
    <row r="92" spans="2:19" x14ac:dyDescent="0.2">
      <c r="B92" s="68">
        <v>1</v>
      </c>
      <c r="C92" s="26" t="str">
        <f t="shared" ref="C92:L92" si="41">IF($B92&lt;=C$56,IF(C71&gt;(EXP(-$B$6 * $B$3/$B$5) * ($B$10 *D91 + $B$11 *D92)),1,0),"")</f>
        <v/>
      </c>
      <c r="D92" s="26">
        <f t="shared" si="41"/>
        <v>1</v>
      </c>
      <c r="E92" s="26">
        <f t="shared" si="41"/>
        <v>1</v>
      </c>
      <c r="F92" s="26">
        <f t="shared" si="41"/>
        <v>1</v>
      </c>
      <c r="G92" s="26">
        <f t="shared" si="41"/>
        <v>0</v>
      </c>
      <c r="H92" s="26">
        <f t="shared" si="41"/>
        <v>0</v>
      </c>
      <c r="I92" s="26">
        <f t="shared" si="41"/>
        <v>0</v>
      </c>
      <c r="J92" s="26">
        <f t="shared" si="41"/>
        <v>0</v>
      </c>
      <c r="K92" s="26">
        <f t="shared" si="41"/>
        <v>0</v>
      </c>
      <c r="L92" s="26">
        <f t="shared" si="41"/>
        <v>0</v>
      </c>
      <c r="M92" s="30">
        <f t="shared" si="33"/>
        <v>0</v>
      </c>
      <c r="N92" s="30"/>
      <c r="O92" s="30"/>
      <c r="P92" s="30"/>
      <c r="Q92" s="30"/>
      <c r="R92" s="30"/>
      <c r="S92" s="31"/>
    </row>
    <row r="93" spans="2:19" x14ac:dyDescent="0.2">
      <c r="B93" s="68">
        <v>0</v>
      </c>
      <c r="C93" s="26">
        <f t="shared" ref="C93:K93" si="42">IF($B93&lt;=C$56,IF(C72&gt;(EXP(-$B$6 * $B$3/$B$5) * ($B$10 *D92 + $B$11 *D93)),1,0),"")</f>
        <v>1</v>
      </c>
      <c r="D93" s="26">
        <f t="shared" si="42"/>
        <v>1</v>
      </c>
      <c r="E93" s="26">
        <f t="shared" si="42"/>
        <v>0</v>
      </c>
      <c r="F93" s="26">
        <f t="shared" si="42"/>
        <v>1</v>
      </c>
      <c r="G93" s="26">
        <f t="shared" si="42"/>
        <v>0</v>
      </c>
      <c r="H93" s="26">
        <f t="shared" si="42"/>
        <v>0</v>
      </c>
      <c r="I93" s="26">
        <f t="shared" si="42"/>
        <v>0</v>
      </c>
      <c r="J93" s="26">
        <f t="shared" si="42"/>
        <v>0</v>
      </c>
      <c r="K93" s="26">
        <f t="shared" si="42"/>
        <v>0</v>
      </c>
      <c r="L93" s="26">
        <f>IF($B93&lt;=L$56,IF(L72&gt;(EXP(-$B$6 * $B$3/$B$5) * ($B$10 *M92 + $B$11 *M93)),1,0),"")</f>
        <v>0</v>
      </c>
      <c r="M93" s="30">
        <f t="shared" si="33"/>
        <v>0</v>
      </c>
      <c r="N93" s="30"/>
      <c r="O93" s="30"/>
      <c r="P93" s="30"/>
      <c r="Q93" s="30"/>
      <c r="R93" s="30"/>
      <c r="S93" s="31"/>
    </row>
    <row r="94" spans="2:19" ht="13.5" thickBot="1" x14ac:dyDescent="0.25">
      <c r="B94" s="32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4"/>
    </row>
  </sheetData>
  <dataConsolidate/>
  <mergeCells count="7">
    <mergeCell ref="B55:D55"/>
    <mergeCell ref="B76:D76"/>
    <mergeCell ref="A1:B1"/>
    <mergeCell ref="G1:H1"/>
    <mergeCell ref="K1:L1"/>
    <mergeCell ref="B13:D13"/>
    <mergeCell ref="B34:D34"/>
  </mergeCells>
  <dataValidations count="2">
    <dataValidation type="list" allowBlank="1" showInputMessage="1" showErrorMessage="1" sqref="J5 L5:Q5">
      <formula1>"European, American"</formula1>
    </dataValidation>
    <dataValidation type="list" allowBlank="1" showInputMessage="1" showErrorMessage="1" sqref="L2:Q2">
      <formula1>"1, -1"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1"/>
  <sheetViews>
    <sheetView showGridLines="0" topLeftCell="A32" workbookViewId="0">
      <selection activeCell="V40" sqref="V40"/>
    </sheetView>
  </sheetViews>
  <sheetFormatPr baseColWidth="10" defaultColWidth="9.140625" defaultRowHeight="12.75" x14ac:dyDescent="0.2"/>
  <cols>
    <col min="1" max="5" width="9.140625" style="49"/>
    <col min="6" max="6" width="9.28515625" style="49" customWidth="1"/>
    <col min="7" max="7" width="8.28515625" style="49" bestFit="1" customWidth="1"/>
    <col min="8" max="262" width="9.140625" style="49"/>
    <col min="263" max="263" width="8.28515625" style="49" bestFit="1" customWidth="1"/>
    <col min="264" max="518" width="9.140625" style="49"/>
    <col min="519" max="519" width="8.28515625" style="49" bestFit="1" customWidth="1"/>
    <col min="520" max="774" width="9.140625" style="49"/>
    <col min="775" max="775" width="8.28515625" style="49" bestFit="1" customWidth="1"/>
    <col min="776" max="1030" width="9.140625" style="49"/>
    <col min="1031" max="1031" width="8.28515625" style="49" bestFit="1" customWidth="1"/>
    <col min="1032" max="1286" width="9.140625" style="49"/>
    <col min="1287" max="1287" width="8.28515625" style="49" bestFit="1" customWidth="1"/>
    <col min="1288" max="1542" width="9.140625" style="49"/>
    <col min="1543" max="1543" width="8.28515625" style="49" bestFit="1" customWidth="1"/>
    <col min="1544" max="1798" width="9.140625" style="49"/>
    <col min="1799" max="1799" width="8.28515625" style="49" bestFit="1" customWidth="1"/>
    <col min="1800" max="2054" width="9.140625" style="49"/>
    <col min="2055" max="2055" width="8.28515625" style="49" bestFit="1" customWidth="1"/>
    <col min="2056" max="2310" width="9.140625" style="49"/>
    <col min="2311" max="2311" width="8.28515625" style="49" bestFit="1" customWidth="1"/>
    <col min="2312" max="2566" width="9.140625" style="49"/>
    <col min="2567" max="2567" width="8.28515625" style="49" bestFit="1" customWidth="1"/>
    <col min="2568" max="2822" width="9.140625" style="49"/>
    <col min="2823" max="2823" width="8.28515625" style="49" bestFit="1" customWidth="1"/>
    <col min="2824" max="3078" width="9.140625" style="49"/>
    <col min="3079" max="3079" width="8.28515625" style="49" bestFit="1" customWidth="1"/>
    <col min="3080" max="3334" width="9.140625" style="49"/>
    <col min="3335" max="3335" width="8.28515625" style="49" bestFit="1" customWidth="1"/>
    <col min="3336" max="3590" width="9.140625" style="49"/>
    <col min="3591" max="3591" width="8.28515625" style="49" bestFit="1" customWidth="1"/>
    <col min="3592" max="3846" width="9.140625" style="49"/>
    <col min="3847" max="3847" width="8.28515625" style="49" bestFit="1" customWidth="1"/>
    <col min="3848" max="4102" width="9.140625" style="49"/>
    <col min="4103" max="4103" width="8.28515625" style="49" bestFit="1" customWidth="1"/>
    <col min="4104" max="4358" width="9.140625" style="49"/>
    <col min="4359" max="4359" width="8.28515625" style="49" bestFit="1" customWidth="1"/>
    <col min="4360" max="4614" width="9.140625" style="49"/>
    <col min="4615" max="4615" width="8.28515625" style="49" bestFit="1" customWidth="1"/>
    <col min="4616" max="4870" width="9.140625" style="49"/>
    <col min="4871" max="4871" width="8.28515625" style="49" bestFit="1" customWidth="1"/>
    <col min="4872" max="5126" width="9.140625" style="49"/>
    <col min="5127" max="5127" width="8.28515625" style="49" bestFit="1" customWidth="1"/>
    <col min="5128" max="5382" width="9.140625" style="49"/>
    <col min="5383" max="5383" width="8.28515625" style="49" bestFit="1" customWidth="1"/>
    <col min="5384" max="5638" width="9.140625" style="49"/>
    <col min="5639" max="5639" width="8.28515625" style="49" bestFit="1" customWidth="1"/>
    <col min="5640" max="5894" width="9.140625" style="49"/>
    <col min="5895" max="5895" width="8.28515625" style="49" bestFit="1" customWidth="1"/>
    <col min="5896" max="6150" width="9.140625" style="49"/>
    <col min="6151" max="6151" width="8.28515625" style="49" bestFit="1" customWidth="1"/>
    <col min="6152" max="6406" width="9.140625" style="49"/>
    <col min="6407" max="6407" width="8.28515625" style="49" bestFit="1" customWidth="1"/>
    <col min="6408" max="6662" width="9.140625" style="49"/>
    <col min="6663" max="6663" width="8.28515625" style="49" bestFit="1" customWidth="1"/>
    <col min="6664" max="6918" width="9.140625" style="49"/>
    <col min="6919" max="6919" width="8.28515625" style="49" bestFit="1" customWidth="1"/>
    <col min="6920" max="7174" width="9.140625" style="49"/>
    <col min="7175" max="7175" width="8.28515625" style="49" bestFit="1" customWidth="1"/>
    <col min="7176" max="7430" width="9.140625" style="49"/>
    <col min="7431" max="7431" width="8.28515625" style="49" bestFit="1" customWidth="1"/>
    <col min="7432" max="7686" width="9.140625" style="49"/>
    <col min="7687" max="7687" width="8.28515625" style="49" bestFit="1" customWidth="1"/>
    <col min="7688" max="7942" width="9.140625" style="49"/>
    <col min="7943" max="7943" width="8.28515625" style="49" bestFit="1" customWidth="1"/>
    <col min="7944" max="8198" width="9.140625" style="49"/>
    <col min="8199" max="8199" width="8.28515625" style="49" bestFit="1" customWidth="1"/>
    <col min="8200" max="8454" width="9.140625" style="49"/>
    <col min="8455" max="8455" width="8.28515625" style="49" bestFit="1" customWidth="1"/>
    <col min="8456" max="8710" width="9.140625" style="49"/>
    <col min="8711" max="8711" width="8.28515625" style="49" bestFit="1" customWidth="1"/>
    <col min="8712" max="8966" width="9.140625" style="49"/>
    <col min="8967" max="8967" width="8.28515625" style="49" bestFit="1" customWidth="1"/>
    <col min="8968" max="9222" width="9.140625" style="49"/>
    <col min="9223" max="9223" width="8.28515625" style="49" bestFit="1" customWidth="1"/>
    <col min="9224" max="9478" width="9.140625" style="49"/>
    <col min="9479" max="9479" width="8.28515625" style="49" bestFit="1" customWidth="1"/>
    <col min="9480" max="9734" width="9.140625" style="49"/>
    <col min="9735" max="9735" width="8.28515625" style="49" bestFit="1" customWidth="1"/>
    <col min="9736" max="9990" width="9.140625" style="49"/>
    <col min="9991" max="9991" width="8.28515625" style="49" bestFit="1" customWidth="1"/>
    <col min="9992" max="10246" width="9.140625" style="49"/>
    <col min="10247" max="10247" width="8.28515625" style="49" bestFit="1" customWidth="1"/>
    <col min="10248" max="10502" width="9.140625" style="49"/>
    <col min="10503" max="10503" width="8.28515625" style="49" bestFit="1" customWidth="1"/>
    <col min="10504" max="10758" width="9.140625" style="49"/>
    <col min="10759" max="10759" width="8.28515625" style="49" bestFit="1" customWidth="1"/>
    <col min="10760" max="11014" width="9.140625" style="49"/>
    <col min="11015" max="11015" width="8.28515625" style="49" bestFit="1" customWidth="1"/>
    <col min="11016" max="11270" width="9.140625" style="49"/>
    <col min="11271" max="11271" width="8.28515625" style="49" bestFit="1" customWidth="1"/>
    <col min="11272" max="11526" width="9.140625" style="49"/>
    <col min="11527" max="11527" width="8.28515625" style="49" bestFit="1" customWidth="1"/>
    <col min="11528" max="11782" width="9.140625" style="49"/>
    <col min="11783" max="11783" width="8.28515625" style="49" bestFit="1" customWidth="1"/>
    <col min="11784" max="12038" width="9.140625" style="49"/>
    <col min="12039" max="12039" width="8.28515625" style="49" bestFit="1" customWidth="1"/>
    <col min="12040" max="12294" width="9.140625" style="49"/>
    <col min="12295" max="12295" width="8.28515625" style="49" bestFit="1" customWidth="1"/>
    <col min="12296" max="12550" width="9.140625" style="49"/>
    <col min="12551" max="12551" width="8.28515625" style="49" bestFit="1" customWidth="1"/>
    <col min="12552" max="12806" width="9.140625" style="49"/>
    <col min="12807" max="12807" width="8.28515625" style="49" bestFit="1" customWidth="1"/>
    <col min="12808" max="13062" width="9.140625" style="49"/>
    <col min="13063" max="13063" width="8.28515625" style="49" bestFit="1" customWidth="1"/>
    <col min="13064" max="13318" width="9.140625" style="49"/>
    <col min="13319" max="13319" width="8.28515625" style="49" bestFit="1" customWidth="1"/>
    <col min="13320" max="13574" width="9.140625" style="49"/>
    <col min="13575" max="13575" width="8.28515625" style="49" bestFit="1" customWidth="1"/>
    <col min="13576" max="13830" width="9.140625" style="49"/>
    <col min="13831" max="13831" width="8.28515625" style="49" bestFit="1" customWidth="1"/>
    <col min="13832" max="14086" width="9.140625" style="49"/>
    <col min="14087" max="14087" width="8.28515625" style="49" bestFit="1" customWidth="1"/>
    <col min="14088" max="14342" width="9.140625" style="49"/>
    <col min="14343" max="14343" width="8.28515625" style="49" bestFit="1" customWidth="1"/>
    <col min="14344" max="14598" width="9.140625" style="49"/>
    <col min="14599" max="14599" width="8.28515625" style="49" bestFit="1" customWidth="1"/>
    <col min="14600" max="14854" width="9.140625" style="49"/>
    <col min="14855" max="14855" width="8.28515625" style="49" bestFit="1" customWidth="1"/>
    <col min="14856" max="15110" width="9.140625" style="49"/>
    <col min="15111" max="15111" width="8.28515625" style="49" bestFit="1" customWidth="1"/>
    <col min="15112" max="15366" width="9.140625" style="49"/>
    <col min="15367" max="15367" width="8.28515625" style="49" bestFit="1" customWidth="1"/>
    <col min="15368" max="15622" width="9.140625" style="49"/>
    <col min="15623" max="15623" width="8.28515625" style="49" bestFit="1" customWidth="1"/>
    <col min="15624" max="15878" width="9.140625" style="49"/>
    <col min="15879" max="15879" width="8.28515625" style="49" bestFit="1" customWidth="1"/>
    <col min="15880" max="16134" width="9.140625" style="49"/>
    <col min="16135" max="16135" width="8.28515625" style="49" bestFit="1" customWidth="1"/>
    <col min="16136" max="16384" width="9.140625" style="49"/>
  </cols>
  <sheetData>
    <row r="1" spans="1:17" ht="13.5" thickBot="1" x14ac:dyDescent="0.25">
      <c r="A1" s="75" t="s">
        <v>0</v>
      </c>
      <c r="B1" s="76"/>
      <c r="F1" s="75" t="s">
        <v>1</v>
      </c>
      <c r="G1" s="76"/>
    </row>
    <row r="2" spans="1:17" x14ac:dyDescent="0.2">
      <c r="A2" s="3" t="s">
        <v>2</v>
      </c>
      <c r="B2" s="4">
        <v>100</v>
      </c>
      <c r="F2" s="50" t="s">
        <v>20</v>
      </c>
      <c r="G2" s="42">
        <v>-1</v>
      </c>
    </row>
    <row r="3" spans="1:17" ht="15.75" thickBot="1" x14ac:dyDescent="0.3">
      <c r="A3" s="7" t="s">
        <v>4</v>
      </c>
      <c r="B3" s="8">
        <v>0.25</v>
      </c>
      <c r="F3" s="51" t="s">
        <v>3</v>
      </c>
      <c r="G3" s="52">
        <v>110</v>
      </c>
    </row>
    <row r="4" spans="1:17" ht="15" x14ac:dyDescent="0.25">
      <c r="A4" s="7" t="s">
        <v>5</v>
      </c>
      <c r="B4" s="10">
        <v>0.3</v>
      </c>
    </row>
    <row r="5" spans="1:17" x14ac:dyDescent="0.2">
      <c r="A5" s="7" t="s">
        <v>6</v>
      </c>
      <c r="B5" s="11">
        <v>15</v>
      </c>
    </row>
    <row r="6" spans="1:17" ht="15" x14ac:dyDescent="0.25">
      <c r="A6" s="7" t="s">
        <v>23</v>
      </c>
      <c r="B6" s="46">
        <v>0.02</v>
      </c>
    </row>
    <row r="7" spans="1:17" ht="15.75" thickBot="1" x14ac:dyDescent="0.3">
      <c r="A7" s="47" t="s">
        <v>24</v>
      </c>
      <c r="B7" s="48">
        <v>0.01</v>
      </c>
    </row>
    <row r="8" spans="1:17" x14ac:dyDescent="0.2">
      <c r="A8" s="13" t="s">
        <v>8</v>
      </c>
      <c r="B8" s="14">
        <f>EXP(B4*SQRT(B3/B5))</f>
        <v>1.0394896104013376</v>
      </c>
    </row>
    <row r="9" spans="1:17" x14ac:dyDescent="0.2">
      <c r="A9" s="15" t="s">
        <v>9</v>
      </c>
      <c r="B9" s="16">
        <f>1/B8</f>
        <v>0.96201057710803761</v>
      </c>
    </row>
    <row r="10" spans="1:17" x14ac:dyDescent="0.2">
      <c r="A10" s="15" t="s">
        <v>10</v>
      </c>
      <c r="B10" s="18">
        <f>(EXP((B6 - B7) * B3/B5) - B9) / (B8 - B9)</f>
        <v>0.49247005062451049</v>
      </c>
    </row>
    <row r="11" spans="1:17" ht="13.5" thickBot="1" x14ac:dyDescent="0.25">
      <c r="A11" s="19" t="s">
        <v>11</v>
      </c>
      <c r="B11" s="20">
        <f>1 - B10</f>
        <v>0.50752994937548945</v>
      </c>
    </row>
    <row r="12" spans="1:17" ht="10.5" customHeight="1" x14ac:dyDescent="0.2"/>
    <row r="13" spans="1:17" hidden="1" x14ac:dyDescent="0.2"/>
    <row r="15" spans="1:17" x14ac:dyDescent="0.2">
      <c r="B15" s="54">
        <v>0</v>
      </c>
      <c r="C15" s="54">
        <v>1</v>
      </c>
      <c r="D15" s="54">
        <v>2</v>
      </c>
      <c r="E15" s="54">
        <v>3</v>
      </c>
      <c r="F15" s="54">
        <v>4</v>
      </c>
      <c r="G15" s="54">
        <v>5</v>
      </c>
      <c r="H15" s="54">
        <v>6</v>
      </c>
      <c r="I15" s="54">
        <v>7</v>
      </c>
      <c r="J15" s="54">
        <v>8</v>
      </c>
      <c r="K15" s="54">
        <v>9</v>
      </c>
      <c r="L15" s="49">
        <v>10</v>
      </c>
      <c r="M15" s="49">
        <v>11</v>
      </c>
      <c r="N15" s="49">
        <v>12</v>
      </c>
      <c r="O15" s="49">
        <v>13</v>
      </c>
      <c r="P15" s="49">
        <v>14</v>
      </c>
      <c r="Q15" s="49">
        <v>15</v>
      </c>
    </row>
    <row r="16" spans="1:17" x14ac:dyDescent="0.2">
      <c r="A16" s="49">
        <v>15</v>
      </c>
      <c r="B16" s="54"/>
      <c r="C16" s="55" t="str">
        <f t="shared" ref="C16:Q31" ca="1" si="0">IF($A16&lt;C$15,$B$9*OFFSET(C16,0,-1),IF($A16=C$15,$B$8*OFFSET(C16,1,-1),""))</f>
        <v/>
      </c>
      <c r="D16" s="55" t="str">
        <f t="shared" ca="1" si="0"/>
        <v/>
      </c>
      <c r="E16" s="55" t="str">
        <f t="shared" ca="1" si="0"/>
        <v/>
      </c>
      <c r="F16" s="55" t="str">
        <f t="shared" ca="1" si="0"/>
        <v/>
      </c>
      <c r="G16" s="55" t="str">
        <f t="shared" ca="1" si="0"/>
        <v/>
      </c>
      <c r="H16" s="55" t="str">
        <f t="shared" ca="1" si="0"/>
        <v/>
      </c>
      <c r="I16" s="55" t="str">
        <f t="shared" ca="1" si="0"/>
        <v/>
      </c>
      <c r="J16" s="55" t="str">
        <f t="shared" ca="1" si="0"/>
        <v/>
      </c>
      <c r="K16" s="55" t="str">
        <f t="shared" ca="1" si="0"/>
        <v/>
      </c>
      <c r="L16" s="55" t="str">
        <f t="shared" ca="1" si="0"/>
        <v/>
      </c>
      <c r="M16" s="55" t="str">
        <f t="shared" ca="1" si="0"/>
        <v/>
      </c>
      <c r="N16" s="55" t="str">
        <f t="shared" ca="1" si="0"/>
        <v/>
      </c>
      <c r="O16" s="55" t="str">
        <f t="shared" ca="1" si="0"/>
        <v/>
      </c>
      <c r="P16" s="55" t="str">
        <f t="shared" ca="1" si="0"/>
        <v/>
      </c>
      <c r="Q16" s="55">
        <f t="shared" ca="1" si="0"/>
        <v>178.77315075823685</v>
      </c>
    </row>
    <row r="17" spans="1:17" x14ac:dyDescent="0.2">
      <c r="A17" s="49">
        <v>14</v>
      </c>
      <c r="B17" s="54"/>
      <c r="C17" s="55" t="str">
        <f t="shared" ca="1" si="0"/>
        <v/>
      </c>
      <c r="D17" s="55" t="str">
        <f t="shared" ca="1" si="0"/>
        <v/>
      </c>
      <c r="E17" s="55" t="str">
        <f t="shared" ca="1" si="0"/>
        <v/>
      </c>
      <c r="F17" s="55" t="str">
        <f t="shared" ca="1" si="0"/>
        <v/>
      </c>
      <c r="G17" s="55" t="str">
        <f t="shared" ca="1" si="0"/>
        <v/>
      </c>
      <c r="H17" s="55" t="str">
        <f t="shared" ca="1" si="0"/>
        <v/>
      </c>
      <c r="I17" s="55" t="str">
        <f t="shared" ca="1" si="0"/>
        <v/>
      </c>
      <c r="J17" s="55" t="str">
        <f t="shared" ca="1" si="0"/>
        <v/>
      </c>
      <c r="K17" s="55" t="str">
        <f t="shared" ca="1" si="0"/>
        <v/>
      </c>
      <c r="L17" s="55" t="str">
        <f t="shared" ca="1" si="0"/>
        <v/>
      </c>
      <c r="M17" s="55" t="str">
        <f t="shared" ca="1" si="0"/>
        <v/>
      </c>
      <c r="N17" s="55" t="str">
        <f t="shared" ca="1" si="0"/>
        <v/>
      </c>
      <c r="O17" s="55" t="str">
        <f t="shared" ca="1" si="0"/>
        <v/>
      </c>
      <c r="P17" s="55">
        <f t="shared" ca="1" si="0"/>
        <v>171.98166193235366</v>
      </c>
      <c r="Q17" s="55">
        <f t="shared" ca="1" si="0"/>
        <v>165.44817784754298</v>
      </c>
    </row>
    <row r="18" spans="1:17" x14ac:dyDescent="0.2">
      <c r="A18" s="49">
        <v>13</v>
      </c>
      <c r="B18" s="54"/>
      <c r="C18" s="55" t="str">
        <f t="shared" ca="1" si="0"/>
        <v/>
      </c>
      <c r="D18" s="55" t="str">
        <f t="shared" ca="1" si="0"/>
        <v/>
      </c>
      <c r="E18" s="55" t="str">
        <f t="shared" ca="1" si="0"/>
        <v/>
      </c>
      <c r="F18" s="55" t="str">
        <f t="shared" ca="1" si="0"/>
        <v/>
      </c>
      <c r="G18" s="55" t="str">
        <f t="shared" ca="1" si="0"/>
        <v/>
      </c>
      <c r="H18" s="55" t="str">
        <f t="shared" ca="1" si="0"/>
        <v/>
      </c>
      <c r="I18" s="55" t="str">
        <f t="shared" ca="1" si="0"/>
        <v/>
      </c>
      <c r="J18" s="55" t="str">
        <f t="shared" ca="1" si="0"/>
        <v/>
      </c>
      <c r="K18" s="55" t="str">
        <f t="shared" ca="1" si="0"/>
        <v/>
      </c>
      <c r="L18" s="55" t="str">
        <f t="shared" ca="1" si="0"/>
        <v/>
      </c>
      <c r="M18" s="55" t="str">
        <f t="shared" ca="1" si="0"/>
        <v/>
      </c>
      <c r="N18" s="55" t="str">
        <f t="shared" ca="1" si="0"/>
        <v/>
      </c>
      <c r="O18" s="55">
        <f t="shared" ca="1" si="0"/>
        <v>165.44817784754298</v>
      </c>
      <c r="P18" s="55">
        <f t="shared" ca="1" si="0"/>
        <v>159.16289705258808</v>
      </c>
      <c r="Q18" s="55">
        <f t="shared" ca="1" si="0"/>
        <v>153.11639044774745</v>
      </c>
    </row>
    <row r="19" spans="1:17" x14ac:dyDescent="0.2">
      <c r="A19" s="49">
        <v>12</v>
      </c>
      <c r="B19" s="54"/>
      <c r="C19" s="55" t="str">
        <f t="shared" ca="1" si="0"/>
        <v/>
      </c>
      <c r="D19" s="55" t="str">
        <f t="shared" ca="1" si="0"/>
        <v/>
      </c>
      <c r="E19" s="55" t="str">
        <f t="shared" ca="1" si="0"/>
        <v/>
      </c>
      <c r="F19" s="55" t="str">
        <f t="shared" ca="1" si="0"/>
        <v/>
      </c>
      <c r="G19" s="55" t="str">
        <f t="shared" ca="1" si="0"/>
        <v/>
      </c>
      <c r="H19" s="55" t="str">
        <f t="shared" ca="1" si="0"/>
        <v/>
      </c>
      <c r="I19" s="55" t="str">
        <f t="shared" ca="1" si="0"/>
        <v/>
      </c>
      <c r="J19" s="55" t="str">
        <f t="shared" ca="1" si="0"/>
        <v/>
      </c>
      <c r="K19" s="55" t="str">
        <f t="shared" ca="1" si="0"/>
        <v/>
      </c>
      <c r="L19" s="55" t="str">
        <f t="shared" ca="1" si="0"/>
        <v/>
      </c>
      <c r="M19" s="55" t="str">
        <f t="shared" ca="1" si="0"/>
        <v/>
      </c>
      <c r="N19" s="55">
        <f t="shared" ca="1" si="0"/>
        <v>159.16289705258808</v>
      </c>
      <c r="O19" s="55">
        <f t="shared" ca="1" si="0"/>
        <v>153.11639044774745</v>
      </c>
      <c r="P19" s="55">
        <f t="shared" ca="1" si="0"/>
        <v>147.29958713933715</v>
      </c>
      <c r="Q19" s="55">
        <f t="shared" ca="1" si="0"/>
        <v>141.70376083168941</v>
      </c>
    </row>
    <row r="20" spans="1:17" x14ac:dyDescent="0.2">
      <c r="A20" s="49">
        <v>11</v>
      </c>
      <c r="B20" s="54"/>
      <c r="C20" s="55" t="str">
        <f t="shared" ca="1" si="0"/>
        <v/>
      </c>
      <c r="D20" s="55" t="str">
        <f t="shared" ca="1" si="0"/>
        <v/>
      </c>
      <c r="E20" s="55" t="str">
        <f t="shared" ca="1" si="0"/>
        <v/>
      </c>
      <c r="F20" s="55" t="str">
        <f t="shared" ca="1" si="0"/>
        <v/>
      </c>
      <c r="G20" s="55" t="str">
        <f t="shared" ca="1" si="0"/>
        <v/>
      </c>
      <c r="H20" s="55" t="str">
        <f t="shared" ca="1" si="0"/>
        <v/>
      </c>
      <c r="I20" s="55" t="str">
        <f t="shared" ca="1" si="0"/>
        <v/>
      </c>
      <c r="J20" s="55" t="str">
        <f t="shared" ca="1" si="0"/>
        <v/>
      </c>
      <c r="K20" s="55" t="str">
        <f t="shared" ca="1" si="0"/>
        <v/>
      </c>
      <c r="L20" s="55" t="str">
        <f t="shared" ca="1" si="0"/>
        <v/>
      </c>
      <c r="M20" s="55">
        <f t="shared" ca="1" si="0"/>
        <v>153.11639044774745</v>
      </c>
      <c r="N20" s="55">
        <f t="shared" ca="1" si="0"/>
        <v>147.29958713933715</v>
      </c>
      <c r="O20" s="55">
        <f t="shared" ca="1" si="0"/>
        <v>141.70376083168941</v>
      </c>
      <c r="P20" s="55">
        <f t="shared" ca="1" si="0"/>
        <v>136.32051673607288</v>
      </c>
      <c r="Q20" s="55">
        <f t="shared" ca="1" si="0"/>
        <v>131.14177897693537</v>
      </c>
    </row>
    <row r="21" spans="1:17" x14ac:dyDescent="0.2">
      <c r="A21" s="49">
        <v>10</v>
      </c>
      <c r="B21" s="54"/>
      <c r="C21" s="55" t="str">
        <f t="shared" ca="1" si="0"/>
        <v/>
      </c>
      <c r="D21" s="55" t="str">
        <f t="shared" ca="1" si="0"/>
        <v/>
      </c>
      <c r="E21" s="55" t="str">
        <f t="shared" ca="1" si="0"/>
        <v/>
      </c>
      <c r="F21" s="55" t="str">
        <f t="shared" ca="1" si="0"/>
        <v/>
      </c>
      <c r="G21" s="55" t="str">
        <f t="shared" ca="1" si="0"/>
        <v/>
      </c>
      <c r="H21" s="55" t="str">
        <f t="shared" ca="1" si="0"/>
        <v/>
      </c>
      <c r="I21" s="55" t="str">
        <f t="shared" ca="1" si="0"/>
        <v/>
      </c>
      <c r="J21" s="55" t="str">
        <f t="shared" ca="1" si="0"/>
        <v/>
      </c>
      <c r="K21" s="55" t="str">
        <f t="shared" ca="1" si="0"/>
        <v/>
      </c>
      <c r="L21" s="55">
        <f t="shared" ca="1" si="0"/>
        <v>147.29958713933715</v>
      </c>
      <c r="M21" s="55">
        <f t="shared" ca="1" si="0"/>
        <v>141.70376083168941</v>
      </c>
      <c r="N21" s="55">
        <f t="shared" ca="1" si="0"/>
        <v>136.32051673607288</v>
      </c>
      <c r="O21" s="55">
        <f t="shared" ca="1" si="0"/>
        <v>131.14177897693537</v>
      </c>
      <c r="P21" s="55">
        <f t="shared" ca="1" si="0"/>
        <v>126.15977847657631</v>
      </c>
      <c r="Q21" s="55">
        <f t="shared" ca="1" si="0"/>
        <v>121.36704130007335</v>
      </c>
    </row>
    <row r="22" spans="1:17" x14ac:dyDescent="0.2">
      <c r="A22" s="49">
        <v>9</v>
      </c>
      <c r="B22" s="54"/>
      <c r="C22" s="55" t="str">
        <f t="shared" ca="1" si="0"/>
        <v/>
      </c>
      <c r="D22" s="55" t="str">
        <f t="shared" ca="1" si="0"/>
        <v/>
      </c>
      <c r="E22" s="55" t="str">
        <f t="shared" ca="1" si="0"/>
        <v/>
      </c>
      <c r="F22" s="55" t="str">
        <f t="shared" ca="1" si="0"/>
        <v/>
      </c>
      <c r="G22" s="55" t="str">
        <f t="shared" ca="1" si="0"/>
        <v/>
      </c>
      <c r="H22" s="55" t="str">
        <f t="shared" ca="1" si="0"/>
        <v/>
      </c>
      <c r="I22" s="55" t="str">
        <f t="shared" ca="1" si="0"/>
        <v/>
      </c>
      <c r="J22" s="55" t="str">
        <f t="shared" ca="1" si="0"/>
        <v/>
      </c>
      <c r="K22" s="55">
        <f t="shared" ca="1" si="0"/>
        <v>141.70376083168941</v>
      </c>
      <c r="L22" s="55">
        <f t="shared" ca="1" si="0"/>
        <v>136.32051673607288</v>
      </c>
      <c r="M22" s="55">
        <f t="shared" ca="1" si="0"/>
        <v>131.14177897693537</v>
      </c>
      <c r="N22" s="55">
        <f t="shared" ca="1" si="0"/>
        <v>126.15977847657631</v>
      </c>
      <c r="O22" s="55">
        <f t="shared" ca="1" si="0"/>
        <v>121.36704130007335</v>
      </c>
      <c r="P22" s="55">
        <f t="shared" ca="1" si="0"/>
        <v>116.7563774429786</v>
      </c>
      <c r="Q22" s="55">
        <f t="shared" ca="1" si="0"/>
        <v>112.32087004496371</v>
      </c>
    </row>
    <row r="23" spans="1:17" x14ac:dyDescent="0.2">
      <c r="A23" s="49">
        <v>8</v>
      </c>
      <c r="B23" s="54"/>
      <c r="C23" s="55" t="str">
        <f t="shared" ca="1" si="0"/>
        <v/>
      </c>
      <c r="D23" s="55" t="str">
        <f t="shared" ca="1" si="0"/>
        <v/>
      </c>
      <c r="E23" s="55" t="str">
        <f t="shared" ca="1" si="0"/>
        <v/>
      </c>
      <c r="F23" s="55" t="str">
        <f t="shared" ca="1" si="0"/>
        <v/>
      </c>
      <c r="G23" s="55" t="str">
        <f t="shared" ca="1" si="0"/>
        <v/>
      </c>
      <c r="H23" s="55" t="str">
        <f t="shared" ca="1" si="0"/>
        <v/>
      </c>
      <c r="I23" s="55" t="str">
        <f t="shared" ca="1" si="0"/>
        <v/>
      </c>
      <c r="J23" s="55">
        <f t="shared" ca="1" si="0"/>
        <v>136.32051673607288</v>
      </c>
      <c r="K23" s="55">
        <f t="shared" ca="1" si="0"/>
        <v>131.14177897693537</v>
      </c>
      <c r="L23" s="55">
        <f t="shared" ca="1" si="0"/>
        <v>126.15977847657631</v>
      </c>
      <c r="M23" s="55">
        <f t="shared" ca="1" si="0"/>
        <v>121.36704130007335</v>
      </c>
      <c r="N23" s="55">
        <f t="shared" ca="1" si="0"/>
        <v>116.7563774429786</v>
      </c>
      <c r="O23" s="55">
        <f t="shared" ca="1" si="0"/>
        <v>112.32087004496371</v>
      </c>
      <c r="P23" s="55">
        <f t="shared" ca="1" si="0"/>
        <v>108.05386501323244</v>
      </c>
      <c r="Q23" s="55">
        <f t="shared" ca="1" si="0"/>
        <v>103.94896104013374</v>
      </c>
    </row>
    <row r="24" spans="1:17" x14ac:dyDescent="0.2">
      <c r="A24" s="49">
        <v>7</v>
      </c>
      <c r="B24" s="54"/>
      <c r="C24" s="55" t="str">
        <f t="shared" ca="1" si="0"/>
        <v/>
      </c>
      <c r="D24" s="55" t="str">
        <f t="shared" ca="1" si="0"/>
        <v/>
      </c>
      <c r="E24" s="55" t="str">
        <f t="shared" ca="1" si="0"/>
        <v/>
      </c>
      <c r="F24" s="55" t="str">
        <f t="shared" ca="1" si="0"/>
        <v/>
      </c>
      <c r="G24" s="55" t="str">
        <f t="shared" ca="1" si="0"/>
        <v/>
      </c>
      <c r="H24" s="55" t="str">
        <f t="shared" ca="1" si="0"/>
        <v/>
      </c>
      <c r="I24" s="55">
        <f t="shared" ca="1" si="0"/>
        <v>131.14177897693537</v>
      </c>
      <c r="J24" s="55">
        <f t="shared" ca="1" si="0"/>
        <v>126.15977847657631</v>
      </c>
      <c r="K24" s="55">
        <f t="shared" ca="1" si="0"/>
        <v>121.36704130007335</v>
      </c>
      <c r="L24" s="55">
        <f t="shared" ca="1" si="0"/>
        <v>116.7563774429786</v>
      </c>
      <c r="M24" s="55">
        <f t="shared" ca="1" si="0"/>
        <v>112.32087004496371</v>
      </c>
      <c r="N24" s="55">
        <f t="shared" ca="1" si="0"/>
        <v>108.05386501323244</v>
      </c>
      <c r="O24" s="55">
        <f t="shared" ca="1" si="0"/>
        <v>103.94896104013374</v>
      </c>
      <c r="P24" s="55">
        <f t="shared" ca="1" si="0"/>
        <v>99.999999999999972</v>
      </c>
      <c r="Q24" s="55">
        <f t="shared" ca="1" si="0"/>
        <v>96.201057710803738</v>
      </c>
    </row>
    <row r="25" spans="1:17" x14ac:dyDescent="0.2">
      <c r="A25" s="49">
        <v>6</v>
      </c>
      <c r="B25" s="54"/>
      <c r="C25" s="55" t="str">
        <f t="shared" ca="1" si="0"/>
        <v/>
      </c>
      <c r="D25" s="55" t="str">
        <f t="shared" ca="1" si="0"/>
        <v/>
      </c>
      <c r="E25" s="55" t="str">
        <f t="shared" ca="1" si="0"/>
        <v/>
      </c>
      <c r="F25" s="55" t="str">
        <f t="shared" ca="1" si="0"/>
        <v/>
      </c>
      <c r="G25" s="55" t="str">
        <f t="shared" ca="1" si="0"/>
        <v/>
      </c>
      <c r="H25" s="55">
        <f t="shared" ca="1" si="0"/>
        <v>126.15977847657631</v>
      </c>
      <c r="I25" s="55">
        <f t="shared" ca="1" si="0"/>
        <v>121.36704130007335</v>
      </c>
      <c r="J25" s="55">
        <f t="shared" ca="1" si="0"/>
        <v>116.7563774429786</v>
      </c>
      <c r="K25" s="55">
        <f t="shared" ca="1" si="0"/>
        <v>112.32087004496371</v>
      </c>
      <c r="L25" s="55">
        <f t="shared" ca="1" si="0"/>
        <v>108.05386501323244</v>
      </c>
      <c r="M25" s="55">
        <f t="shared" ca="1" si="0"/>
        <v>103.94896104013374</v>
      </c>
      <c r="N25" s="55">
        <f t="shared" ca="1" si="0"/>
        <v>99.999999999999972</v>
      </c>
      <c r="O25" s="55">
        <f t="shared" ca="1" si="0"/>
        <v>96.201057710803738</v>
      </c>
      <c r="P25" s="55">
        <f t="shared" ca="1" si="0"/>
        <v>92.546435046773937</v>
      </c>
      <c r="Q25" s="55">
        <f t="shared" ca="1" si="0"/>
        <v>89.030649388638508</v>
      </c>
    </row>
    <row r="26" spans="1:17" x14ac:dyDescent="0.2">
      <c r="A26" s="49">
        <v>5</v>
      </c>
      <c r="C26" s="55" t="str">
        <f t="shared" ca="1" si="0"/>
        <v/>
      </c>
      <c r="D26" s="55" t="str">
        <f t="shared" ca="1" si="0"/>
        <v/>
      </c>
      <c r="E26" s="55" t="str">
        <f t="shared" ca="1" si="0"/>
        <v/>
      </c>
      <c r="F26" s="55" t="str">
        <f t="shared" ca="1" si="0"/>
        <v/>
      </c>
      <c r="G26" s="55">
        <f t="shared" ca="1" si="0"/>
        <v>121.36704130007337</v>
      </c>
      <c r="H26" s="55">
        <f t="shared" ca="1" si="0"/>
        <v>116.75637744297862</v>
      </c>
      <c r="I26" s="55">
        <f t="shared" ca="1" si="0"/>
        <v>112.32087004496373</v>
      </c>
      <c r="J26" s="55">
        <f t="shared" ca="1" si="0"/>
        <v>108.05386501323245</v>
      </c>
      <c r="K26" s="55">
        <f t="shared" ca="1" si="0"/>
        <v>103.94896104013375</v>
      </c>
      <c r="L26" s="55">
        <f t="shared" ca="1" si="0"/>
        <v>99.999999999999986</v>
      </c>
      <c r="M26" s="55">
        <f t="shared" ca="1" si="0"/>
        <v>96.201057710803752</v>
      </c>
      <c r="N26" s="55">
        <f t="shared" ca="1" si="0"/>
        <v>92.546435046773951</v>
      </c>
      <c r="O26" s="55">
        <f t="shared" ca="1" si="0"/>
        <v>89.030649388638523</v>
      </c>
      <c r="P26" s="55">
        <f t="shared" ca="1" si="0"/>
        <v>85.648426398667496</v>
      </c>
      <c r="Q26" s="55">
        <f t="shared" ca="1" si="0"/>
        <v>82.394692108177395</v>
      </c>
    </row>
    <row r="27" spans="1:17" x14ac:dyDescent="0.2">
      <c r="A27" s="49">
        <v>4</v>
      </c>
      <c r="C27" s="55" t="str">
        <f t="shared" ca="1" si="0"/>
        <v/>
      </c>
      <c r="D27" s="55" t="str">
        <f t="shared" ca="1" si="0"/>
        <v/>
      </c>
      <c r="E27" s="55" t="str">
        <f t="shared" ca="1" si="0"/>
        <v/>
      </c>
      <c r="F27" s="55">
        <f t="shared" ca="1" si="0"/>
        <v>116.75637744297862</v>
      </c>
      <c r="G27" s="55">
        <f t="shared" ca="1" si="0"/>
        <v>112.32087004496373</v>
      </c>
      <c r="H27" s="55">
        <f t="shared" ca="1" si="0"/>
        <v>108.05386501323245</v>
      </c>
      <c r="I27" s="55">
        <f t="shared" ca="1" si="0"/>
        <v>103.94896104013375</v>
      </c>
      <c r="J27" s="55">
        <f t="shared" ca="1" si="0"/>
        <v>99.999999999999986</v>
      </c>
      <c r="K27" s="55">
        <f t="shared" ca="1" si="0"/>
        <v>96.201057710803752</v>
      </c>
      <c r="L27" s="55">
        <f t="shared" ca="1" si="0"/>
        <v>92.546435046773951</v>
      </c>
      <c r="M27" s="55">
        <f t="shared" ca="1" si="0"/>
        <v>89.030649388638523</v>
      </c>
      <c r="N27" s="55">
        <f t="shared" ca="1" si="0"/>
        <v>85.648426398667496</v>
      </c>
      <c r="O27" s="55">
        <f t="shared" ca="1" si="0"/>
        <v>82.394692108177395</v>
      </c>
      <c r="P27" s="55">
        <f t="shared" ca="1" si="0"/>
        <v>79.264565305626803</v>
      </c>
      <c r="Q27" s="55">
        <f t="shared" ca="1" si="0"/>
        <v>76.253350213883778</v>
      </c>
    </row>
    <row r="28" spans="1:17" x14ac:dyDescent="0.2">
      <c r="A28" s="49">
        <v>3</v>
      </c>
      <c r="C28" s="55" t="str">
        <f t="shared" ca="1" si="0"/>
        <v/>
      </c>
      <c r="D28" s="55" t="str">
        <f t="shared" ca="1" si="0"/>
        <v/>
      </c>
      <c r="E28" s="55">
        <f t="shared" ca="1" si="0"/>
        <v>112.32087004496373</v>
      </c>
      <c r="F28" s="55">
        <f t="shared" ca="1" si="0"/>
        <v>108.05386501323245</v>
      </c>
      <c r="G28" s="55">
        <f t="shared" ca="1" si="0"/>
        <v>103.94896104013375</v>
      </c>
      <c r="H28" s="55">
        <f t="shared" ca="1" si="0"/>
        <v>99.999999999999986</v>
      </c>
      <c r="I28" s="55">
        <f t="shared" ca="1" si="0"/>
        <v>96.201057710803752</v>
      </c>
      <c r="J28" s="55">
        <f t="shared" ca="1" si="0"/>
        <v>92.546435046773951</v>
      </c>
      <c r="K28" s="55">
        <f t="shared" ca="1" si="0"/>
        <v>89.030649388638523</v>
      </c>
      <c r="L28" s="55">
        <f t="shared" ca="1" si="0"/>
        <v>85.648426398667496</v>
      </c>
      <c r="M28" s="55">
        <f t="shared" ca="1" si="0"/>
        <v>82.394692108177395</v>
      </c>
      <c r="N28" s="55">
        <f t="shared" ca="1" si="0"/>
        <v>79.264565305626803</v>
      </c>
      <c r="O28" s="55">
        <f t="shared" ca="1" si="0"/>
        <v>76.253350213883778</v>
      </c>
      <c r="P28" s="55">
        <f t="shared" ca="1" si="0"/>
        <v>73.356529445679641</v>
      </c>
      <c r="Q28" s="55">
        <f t="shared" ca="1" si="0"/>
        <v>70.56975722668102</v>
      </c>
    </row>
    <row r="29" spans="1:17" x14ac:dyDescent="0.2">
      <c r="A29" s="49">
        <v>2</v>
      </c>
      <c r="C29" s="55" t="str">
        <f t="shared" ca="1" si="0"/>
        <v/>
      </c>
      <c r="D29" s="55">
        <f t="shared" ca="1" si="0"/>
        <v>108.05386501323245</v>
      </c>
      <c r="E29" s="55">
        <f t="shared" ca="1" si="0"/>
        <v>103.94896104013375</v>
      </c>
      <c r="F29" s="55">
        <f t="shared" ca="1" si="0"/>
        <v>99.999999999999986</v>
      </c>
      <c r="G29" s="55">
        <f t="shared" ca="1" si="0"/>
        <v>96.201057710803752</v>
      </c>
      <c r="H29" s="55">
        <f t="shared" ca="1" si="0"/>
        <v>92.546435046773951</v>
      </c>
      <c r="I29" s="55">
        <f t="shared" ca="1" si="0"/>
        <v>89.030649388638523</v>
      </c>
      <c r="J29" s="55">
        <f t="shared" ca="1" si="0"/>
        <v>85.648426398667496</v>
      </c>
      <c r="K29" s="55">
        <f t="shared" ca="1" si="0"/>
        <v>82.394692108177395</v>
      </c>
      <c r="L29" s="55">
        <f t="shared" ca="1" si="0"/>
        <v>79.264565305626803</v>
      </c>
      <c r="M29" s="55">
        <f t="shared" ca="1" si="0"/>
        <v>76.253350213883778</v>
      </c>
      <c r="N29" s="55">
        <f t="shared" ca="1" si="0"/>
        <v>73.356529445679641</v>
      </c>
      <c r="O29" s="55">
        <f t="shared" ca="1" si="0"/>
        <v>70.56975722668102</v>
      </c>
      <c r="P29" s="55">
        <f t="shared" ca="1" si="0"/>
        <v>67.888852876013516</v>
      </c>
      <c r="Q29" s="55">
        <f t="shared" ca="1" si="0"/>
        <v>65.309794534456415</v>
      </c>
    </row>
    <row r="30" spans="1:17" x14ac:dyDescent="0.2">
      <c r="A30" s="49">
        <v>1</v>
      </c>
      <c r="C30" s="55">
        <f t="shared" ca="1" si="0"/>
        <v>103.94896104013375</v>
      </c>
      <c r="D30" s="55">
        <f t="shared" ca="1" si="0"/>
        <v>99.999999999999986</v>
      </c>
      <c r="E30" s="55">
        <f t="shared" ca="1" si="0"/>
        <v>96.201057710803752</v>
      </c>
      <c r="F30" s="55">
        <f t="shared" ca="1" si="0"/>
        <v>92.546435046773951</v>
      </c>
      <c r="G30" s="55">
        <f t="shared" ca="1" si="0"/>
        <v>89.030649388638523</v>
      </c>
      <c r="H30" s="55">
        <f t="shared" ca="1" si="0"/>
        <v>85.648426398667496</v>
      </c>
      <c r="I30" s="55">
        <f t="shared" ca="1" si="0"/>
        <v>82.394692108177395</v>
      </c>
      <c r="J30" s="55">
        <f t="shared" ca="1" si="0"/>
        <v>79.264565305626803</v>
      </c>
      <c r="K30" s="55">
        <f t="shared" ca="1" si="0"/>
        <v>76.253350213883778</v>
      </c>
      <c r="L30" s="55">
        <f t="shared" ca="1" si="0"/>
        <v>73.356529445679641</v>
      </c>
      <c r="M30" s="55">
        <f t="shared" ca="1" si="0"/>
        <v>70.56975722668102</v>
      </c>
      <c r="N30" s="55">
        <f t="shared" ca="1" si="0"/>
        <v>67.888852876013516</v>
      </c>
      <c r="O30" s="55">
        <f t="shared" ca="1" si="0"/>
        <v>65.309794534456415</v>
      </c>
      <c r="P30" s="55">
        <f t="shared" ca="1" si="0"/>
        <v>62.828713130899779</v>
      </c>
      <c r="Q30" s="55">
        <f t="shared" ca="1" si="0"/>
        <v>60.441886578012237</v>
      </c>
    </row>
    <row r="31" spans="1:17" x14ac:dyDescent="0.2">
      <c r="A31" s="49">
        <v>0</v>
      </c>
      <c r="B31" s="55">
        <f>$B$2</f>
        <v>100</v>
      </c>
      <c r="C31" s="55">
        <f t="shared" ca="1" si="0"/>
        <v>96.201057710803767</v>
      </c>
      <c r="D31" s="55">
        <f t="shared" ca="1" si="0"/>
        <v>92.546435046773965</v>
      </c>
      <c r="E31" s="55">
        <f t="shared" ca="1" si="0"/>
        <v>89.030649388638537</v>
      </c>
      <c r="F31" s="55">
        <f t="shared" ca="1" si="0"/>
        <v>85.64842639866751</v>
      </c>
      <c r="G31" s="55">
        <f t="shared" ca="1" si="0"/>
        <v>82.394692108177409</v>
      </c>
      <c r="H31" s="55">
        <f t="shared" ca="1" si="0"/>
        <v>79.264565305626817</v>
      </c>
      <c r="I31" s="55">
        <f t="shared" ca="1" si="0"/>
        <v>76.253350213883792</v>
      </c>
      <c r="J31" s="55">
        <f t="shared" ca="1" si="0"/>
        <v>73.356529445679655</v>
      </c>
      <c r="K31" s="55">
        <f t="shared" ca="1" si="0"/>
        <v>70.569757226681034</v>
      </c>
      <c r="L31" s="55">
        <f t="shared" ca="1" si="0"/>
        <v>67.88885287601353</v>
      </c>
      <c r="M31" s="55">
        <f t="shared" ca="1" si="0"/>
        <v>65.309794534456429</v>
      </c>
      <c r="N31" s="55">
        <f t="shared" ca="1" si="0"/>
        <v>62.828713130899793</v>
      </c>
      <c r="O31" s="55">
        <f t="shared" ca="1" si="0"/>
        <v>60.441886578012252</v>
      </c>
      <c r="P31" s="55">
        <f t="shared" ca="1" si="0"/>
        <v>58.145734188412121</v>
      </c>
      <c r="Q31" s="55">
        <f t="shared" ca="1" si="0"/>
        <v>55.936811302964898</v>
      </c>
    </row>
    <row r="32" spans="1:17" x14ac:dyDescent="0.2">
      <c r="B32" s="57"/>
      <c r="C32" s="57"/>
      <c r="D32" s="56"/>
      <c r="E32" s="56"/>
      <c r="F32" s="56"/>
      <c r="G32" s="56"/>
      <c r="H32" s="56"/>
      <c r="I32" s="56"/>
      <c r="J32" s="56"/>
      <c r="K32" s="56"/>
    </row>
    <row r="34" spans="1:17" x14ac:dyDescent="0.2">
      <c r="A34" s="58" t="s">
        <v>34</v>
      </c>
    </row>
    <row r="35" spans="1:17" x14ac:dyDescent="0.2">
      <c r="B35" s="54">
        <v>0</v>
      </c>
      <c r="C35" s="54">
        <v>1</v>
      </c>
      <c r="D35" s="54">
        <v>2</v>
      </c>
      <c r="E35" s="54">
        <v>3</v>
      </c>
      <c r="F35" s="54">
        <v>4</v>
      </c>
      <c r="G35" s="54">
        <v>5</v>
      </c>
      <c r="H35" s="54">
        <v>6</v>
      </c>
      <c r="I35" s="54">
        <v>7</v>
      </c>
      <c r="J35" s="54">
        <v>8</v>
      </c>
      <c r="K35" s="54">
        <v>9</v>
      </c>
      <c r="L35" s="49">
        <v>10</v>
      </c>
      <c r="M35" s="49">
        <v>11</v>
      </c>
      <c r="N35" s="49">
        <v>12</v>
      </c>
      <c r="O35" s="49">
        <v>13</v>
      </c>
      <c r="P35" s="49">
        <v>14</v>
      </c>
      <c r="Q35" s="49">
        <v>15</v>
      </c>
    </row>
    <row r="36" spans="1:17" x14ac:dyDescent="0.2">
      <c r="A36" s="49">
        <v>15</v>
      </c>
      <c r="B36" s="59" t="str">
        <f t="shared" ref="B36:P36" si="1">IF($A36 &lt;= B$35, ($B$10*C35+$B$11*C36)/EXP($B$6 * $B$3/$B$5),"")</f>
        <v/>
      </c>
      <c r="C36" s="59" t="str">
        <f t="shared" si="1"/>
        <v/>
      </c>
      <c r="D36" s="59" t="str">
        <f t="shared" si="1"/>
        <v/>
      </c>
      <c r="E36" s="59" t="str">
        <f t="shared" si="1"/>
        <v/>
      </c>
      <c r="F36" s="59" t="str">
        <f t="shared" si="1"/>
        <v/>
      </c>
      <c r="G36" s="59" t="str">
        <f t="shared" si="1"/>
        <v/>
      </c>
      <c r="H36" s="59" t="str">
        <f t="shared" si="1"/>
        <v/>
      </c>
      <c r="I36" s="59" t="str">
        <f t="shared" si="1"/>
        <v/>
      </c>
      <c r="J36" s="59" t="str">
        <f t="shared" si="1"/>
        <v/>
      </c>
      <c r="K36" s="59" t="str">
        <f t="shared" si="1"/>
        <v/>
      </c>
      <c r="L36" s="59" t="str">
        <f t="shared" si="1"/>
        <v/>
      </c>
      <c r="M36" s="59" t="str">
        <f t="shared" si="1"/>
        <v/>
      </c>
      <c r="N36" s="59" t="str">
        <f t="shared" si="1"/>
        <v/>
      </c>
      <c r="O36" s="59" t="str">
        <f t="shared" si="1"/>
        <v/>
      </c>
      <c r="P36" s="59" t="str">
        <f t="shared" si="1"/>
        <v/>
      </c>
      <c r="Q36" s="56">
        <f t="shared" ref="Q36:Q39" ca="1" si="2">MAX($G$2*(Q16-$G$3),0)</f>
        <v>0</v>
      </c>
    </row>
    <row r="37" spans="1:17" x14ac:dyDescent="0.2">
      <c r="A37" s="49">
        <v>14</v>
      </c>
      <c r="B37" s="59" t="str">
        <f t="shared" ref="B37:P51" si="3">IF($A37 &lt;= B$35, MAX(MAX(($G$3-B17),0), ($B$10*C36+$B$11*C37)/EXP($B$6 * $B$3/$B$5)),"")</f>
        <v/>
      </c>
      <c r="C37" s="59" t="str">
        <f t="shared" si="3"/>
        <v/>
      </c>
      <c r="D37" s="59" t="str">
        <f t="shared" si="3"/>
        <v/>
      </c>
      <c r="E37" s="59" t="str">
        <f t="shared" si="3"/>
        <v/>
      </c>
      <c r="F37" s="59" t="str">
        <f t="shared" si="3"/>
        <v/>
      </c>
      <c r="G37" s="59" t="str">
        <f t="shared" si="3"/>
        <v/>
      </c>
      <c r="H37" s="59" t="str">
        <f t="shared" si="3"/>
        <v/>
      </c>
      <c r="I37" s="59" t="str">
        <f t="shared" si="3"/>
        <v/>
      </c>
      <c r="J37" s="59" t="str">
        <f t="shared" si="3"/>
        <v/>
      </c>
      <c r="K37" s="59" t="str">
        <f t="shared" si="3"/>
        <v/>
      </c>
      <c r="L37" s="59" t="str">
        <f t="shared" si="3"/>
        <v/>
      </c>
      <c r="M37" s="59" t="str">
        <f t="shared" si="3"/>
        <v/>
      </c>
      <c r="N37" s="59" t="str">
        <f t="shared" si="3"/>
        <v/>
      </c>
      <c r="O37" s="59" t="str">
        <f t="shared" si="3"/>
        <v/>
      </c>
      <c r="P37" s="59">
        <f t="shared" ca="1" si="3"/>
        <v>0</v>
      </c>
      <c r="Q37" s="56">
        <f t="shared" ca="1" si="2"/>
        <v>0</v>
      </c>
    </row>
    <row r="38" spans="1:17" x14ac:dyDescent="0.2">
      <c r="A38" s="49">
        <v>13</v>
      </c>
      <c r="B38" s="59" t="str">
        <f t="shared" si="3"/>
        <v/>
      </c>
      <c r="C38" s="59" t="str">
        <f t="shared" si="3"/>
        <v/>
      </c>
      <c r="D38" s="59" t="str">
        <f t="shared" si="3"/>
        <v/>
      </c>
      <c r="E38" s="59" t="str">
        <f t="shared" si="3"/>
        <v/>
      </c>
      <c r="F38" s="59" t="str">
        <f t="shared" si="3"/>
        <v/>
      </c>
      <c r="G38" s="59" t="str">
        <f t="shared" si="3"/>
        <v/>
      </c>
      <c r="H38" s="59" t="str">
        <f t="shared" si="3"/>
        <v/>
      </c>
      <c r="I38" s="59" t="str">
        <f t="shared" si="3"/>
        <v/>
      </c>
      <c r="J38" s="59" t="str">
        <f t="shared" si="3"/>
        <v/>
      </c>
      <c r="K38" s="59" t="str">
        <f t="shared" si="3"/>
        <v/>
      </c>
      <c r="L38" s="59" t="str">
        <f t="shared" si="3"/>
        <v/>
      </c>
      <c r="M38" s="59" t="str">
        <f t="shared" si="3"/>
        <v/>
      </c>
      <c r="N38" s="59" t="str">
        <f t="shared" si="3"/>
        <v/>
      </c>
      <c r="O38" s="59">
        <f t="shared" ca="1" si="3"/>
        <v>0</v>
      </c>
      <c r="P38" s="59">
        <f t="shared" ca="1" si="3"/>
        <v>0</v>
      </c>
      <c r="Q38" s="56">
        <f t="shared" ca="1" si="2"/>
        <v>0</v>
      </c>
    </row>
    <row r="39" spans="1:17" x14ac:dyDescent="0.2">
      <c r="A39" s="49">
        <v>12</v>
      </c>
      <c r="B39" s="59" t="str">
        <f t="shared" si="3"/>
        <v/>
      </c>
      <c r="C39" s="59" t="str">
        <f t="shared" si="3"/>
        <v/>
      </c>
      <c r="D39" s="59" t="str">
        <f t="shared" si="3"/>
        <v/>
      </c>
      <c r="E39" s="59" t="str">
        <f t="shared" si="3"/>
        <v/>
      </c>
      <c r="F39" s="59" t="str">
        <f t="shared" si="3"/>
        <v/>
      </c>
      <c r="G39" s="59" t="str">
        <f t="shared" si="3"/>
        <v/>
      </c>
      <c r="H39" s="59" t="str">
        <f t="shared" si="3"/>
        <v/>
      </c>
      <c r="I39" s="59" t="str">
        <f t="shared" si="3"/>
        <v/>
      </c>
      <c r="J39" s="59" t="str">
        <f t="shared" si="3"/>
        <v/>
      </c>
      <c r="K39" s="59" t="str">
        <f t="shared" si="3"/>
        <v/>
      </c>
      <c r="L39" s="59" t="str">
        <f t="shared" si="3"/>
        <v/>
      </c>
      <c r="M39" s="59" t="str">
        <f t="shared" si="3"/>
        <v/>
      </c>
      <c r="N39" s="59">
        <f t="shared" ca="1" si="3"/>
        <v>0</v>
      </c>
      <c r="O39" s="59">
        <f t="shared" ca="1" si="3"/>
        <v>0</v>
      </c>
      <c r="P39" s="59">
        <f t="shared" ca="1" si="3"/>
        <v>0</v>
      </c>
      <c r="Q39" s="56">
        <f t="shared" ca="1" si="2"/>
        <v>0</v>
      </c>
    </row>
    <row r="40" spans="1:17" x14ac:dyDescent="0.2">
      <c r="A40" s="49">
        <v>11</v>
      </c>
      <c r="B40" s="59" t="str">
        <f t="shared" si="3"/>
        <v/>
      </c>
      <c r="C40" s="59" t="str">
        <f t="shared" si="3"/>
        <v/>
      </c>
      <c r="D40" s="59" t="str">
        <f t="shared" si="3"/>
        <v/>
      </c>
      <c r="E40" s="59" t="str">
        <f t="shared" si="3"/>
        <v/>
      </c>
      <c r="F40" s="59" t="str">
        <f t="shared" si="3"/>
        <v/>
      </c>
      <c r="G40" s="59" t="str">
        <f t="shared" si="3"/>
        <v/>
      </c>
      <c r="H40" s="59" t="str">
        <f t="shared" si="3"/>
        <v/>
      </c>
      <c r="I40" s="59" t="str">
        <f t="shared" si="3"/>
        <v/>
      </c>
      <c r="J40" s="59" t="str">
        <f t="shared" si="3"/>
        <v/>
      </c>
      <c r="K40" s="59" t="str">
        <f t="shared" si="3"/>
        <v/>
      </c>
      <c r="L40" s="59" t="str">
        <f t="shared" si="3"/>
        <v/>
      </c>
      <c r="M40" s="59">
        <f t="shared" ca="1" si="3"/>
        <v>0</v>
      </c>
      <c r="N40" s="59">
        <f t="shared" ca="1" si="3"/>
        <v>0</v>
      </c>
      <c r="O40" s="59">
        <f t="shared" ca="1" si="3"/>
        <v>0</v>
      </c>
      <c r="P40" s="59">
        <f t="shared" ca="1" si="3"/>
        <v>0</v>
      </c>
      <c r="Q40" s="56">
        <f ca="1">MAX($G$2*(Q20-$G$3),0)</f>
        <v>0</v>
      </c>
    </row>
    <row r="41" spans="1:17" x14ac:dyDescent="0.2">
      <c r="A41" s="49">
        <v>10</v>
      </c>
      <c r="B41" s="59" t="str">
        <f t="shared" si="3"/>
        <v/>
      </c>
      <c r="C41" s="59" t="str">
        <f t="shared" si="3"/>
        <v/>
      </c>
      <c r="D41" s="59" t="str">
        <f t="shared" si="3"/>
        <v/>
      </c>
      <c r="E41" s="59" t="str">
        <f t="shared" si="3"/>
        <v/>
      </c>
      <c r="F41" s="59" t="str">
        <f t="shared" si="3"/>
        <v/>
      </c>
      <c r="G41" s="59" t="str">
        <f t="shared" si="3"/>
        <v/>
      </c>
      <c r="H41" s="59" t="str">
        <f t="shared" si="3"/>
        <v/>
      </c>
      <c r="I41" s="59" t="str">
        <f t="shared" si="3"/>
        <v/>
      </c>
      <c r="J41" s="59" t="str">
        <f t="shared" si="3"/>
        <v/>
      </c>
      <c r="K41" s="59" t="str">
        <f t="shared" si="3"/>
        <v/>
      </c>
      <c r="L41" s="59">
        <f t="shared" ca="1" si="3"/>
        <v>0</v>
      </c>
      <c r="M41" s="59">
        <f t="shared" ca="1" si="3"/>
        <v>0</v>
      </c>
      <c r="N41" s="59">
        <f t="shared" ca="1" si="3"/>
        <v>0</v>
      </c>
      <c r="O41" s="59">
        <f t="shared" ca="1" si="3"/>
        <v>0</v>
      </c>
      <c r="P41" s="59">
        <f t="shared" ca="1" si="3"/>
        <v>0</v>
      </c>
      <c r="Q41" s="56">
        <f t="shared" ref="Q41:Q50" ca="1" si="4">MAX($G$2*(Q21-$G$3),0)</f>
        <v>0</v>
      </c>
    </row>
    <row r="42" spans="1:17" x14ac:dyDescent="0.2">
      <c r="A42" s="49">
        <v>9</v>
      </c>
      <c r="B42" s="59" t="str">
        <f t="shared" si="3"/>
        <v/>
      </c>
      <c r="C42" s="59" t="str">
        <f t="shared" si="3"/>
        <v/>
      </c>
      <c r="D42" s="59" t="str">
        <f t="shared" si="3"/>
        <v/>
      </c>
      <c r="E42" s="59" t="str">
        <f t="shared" si="3"/>
        <v/>
      </c>
      <c r="F42" s="59" t="str">
        <f t="shared" si="3"/>
        <v/>
      </c>
      <c r="G42" s="59" t="str">
        <f t="shared" si="3"/>
        <v/>
      </c>
      <c r="H42" s="59" t="str">
        <f t="shared" si="3"/>
        <v/>
      </c>
      <c r="I42" s="59" t="str">
        <f t="shared" si="3"/>
        <v/>
      </c>
      <c r="J42" s="59" t="str">
        <f t="shared" si="3"/>
        <v/>
      </c>
      <c r="K42" s="59">
        <f t="shared" ca="1" si="3"/>
        <v>0</v>
      </c>
      <c r="L42" s="59">
        <f t="shared" ca="1" si="3"/>
        <v>0</v>
      </c>
      <c r="M42" s="59">
        <f t="shared" ca="1" si="3"/>
        <v>0</v>
      </c>
      <c r="N42" s="59">
        <f t="shared" ca="1" si="3"/>
        <v>0</v>
      </c>
      <c r="O42" s="59">
        <f t="shared" ca="1" si="3"/>
        <v>0</v>
      </c>
      <c r="P42" s="59">
        <f t="shared" ca="1" si="3"/>
        <v>0</v>
      </c>
      <c r="Q42" s="56">
        <f t="shared" ca="1" si="4"/>
        <v>0</v>
      </c>
    </row>
    <row r="43" spans="1:17" x14ac:dyDescent="0.2">
      <c r="A43" s="49">
        <v>8</v>
      </c>
      <c r="B43" s="59" t="str">
        <f t="shared" si="3"/>
        <v/>
      </c>
      <c r="C43" s="59" t="str">
        <f t="shared" si="3"/>
        <v/>
      </c>
      <c r="D43" s="59" t="str">
        <f t="shared" si="3"/>
        <v/>
      </c>
      <c r="E43" s="59" t="str">
        <f t="shared" si="3"/>
        <v/>
      </c>
      <c r="F43" s="59" t="str">
        <f t="shared" si="3"/>
        <v/>
      </c>
      <c r="G43" s="59" t="str">
        <f t="shared" si="3"/>
        <v/>
      </c>
      <c r="H43" s="59" t="str">
        <f t="shared" si="3"/>
        <v/>
      </c>
      <c r="I43" s="59" t="str">
        <f t="shared" si="3"/>
        <v/>
      </c>
      <c r="J43" s="59">
        <f t="shared" ca="1" si="3"/>
        <v>5.2365869727484728E-2</v>
      </c>
      <c r="K43" s="59">
        <f t="shared" ca="1" si="3"/>
        <v>0.10321228922823039</v>
      </c>
      <c r="L43" s="59">
        <f t="shared" ca="1" si="3"/>
        <v>0.20342976643316729</v>
      </c>
      <c r="M43" s="59">
        <f t="shared" ca="1" si="3"/>
        <v>0.40095680640841586</v>
      </c>
      <c r="N43" s="59">
        <f t="shared" ca="1" si="3"/>
        <v>0.79027943365432896</v>
      </c>
      <c r="O43" s="59">
        <f t="shared" ca="1" si="3"/>
        <v>1.5576280868040606</v>
      </c>
      <c r="P43" s="59">
        <f t="shared" ca="1" si="3"/>
        <v>3.070059973067842</v>
      </c>
      <c r="Q43" s="56">
        <f t="shared" ca="1" si="4"/>
        <v>6.0510389598662613</v>
      </c>
    </row>
    <row r="44" spans="1:17" x14ac:dyDescent="0.2">
      <c r="A44" s="49">
        <v>7</v>
      </c>
      <c r="B44" s="59" t="str">
        <f t="shared" si="3"/>
        <v/>
      </c>
      <c r="C44" s="59" t="str">
        <f t="shared" si="3"/>
        <v/>
      </c>
      <c r="D44" s="59" t="str">
        <f t="shared" si="3"/>
        <v/>
      </c>
      <c r="E44" s="59" t="str">
        <f t="shared" si="3"/>
        <v/>
      </c>
      <c r="F44" s="59" t="str">
        <f t="shared" si="3"/>
        <v/>
      </c>
      <c r="G44" s="59" t="str">
        <f t="shared" si="3"/>
        <v/>
      </c>
      <c r="H44" s="59" t="str">
        <f t="shared" si="3"/>
        <v/>
      </c>
      <c r="I44" s="59">
        <f t="shared" ca="1" si="3"/>
        <v>0.26700048928946152</v>
      </c>
      <c r="J44" s="59">
        <f t="shared" ca="1" si="3"/>
        <v>0.47544166027796825</v>
      </c>
      <c r="K44" s="59">
        <f t="shared" ca="1" si="3"/>
        <v>0.83693820723118573</v>
      </c>
      <c r="L44" s="59">
        <f t="shared" ca="1" si="3"/>
        <v>1.4521983710879898</v>
      </c>
      <c r="M44" s="59">
        <f t="shared" ca="1" si="3"/>
        <v>2.4732004499294735</v>
      </c>
      <c r="N44" s="59">
        <f t="shared" ca="1" si="3"/>
        <v>4.1078088837138695</v>
      </c>
      <c r="O44" s="59">
        <f t="shared" ca="1" si="3"/>
        <v>6.5850167126661105</v>
      </c>
      <c r="P44" s="59">
        <f t="shared" ca="1" si="3"/>
        <v>10.000000000000028</v>
      </c>
      <c r="Q44" s="56">
        <f t="shared" ca="1" si="4"/>
        <v>13.798942289196262</v>
      </c>
    </row>
    <row r="45" spans="1:17" x14ac:dyDescent="0.2">
      <c r="A45" s="49">
        <v>6</v>
      </c>
      <c r="B45" s="59" t="str">
        <f t="shared" si="3"/>
        <v/>
      </c>
      <c r="C45" s="59" t="str">
        <f t="shared" si="3"/>
        <v/>
      </c>
      <c r="D45" s="59" t="str">
        <f t="shared" si="3"/>
        <v/>
      </c>
      <c r="E45" s="59" t="str">
        <f t="shared" si="3"/>
        <v/>
      </c>
      <c r="F45" s="59" t="str">
        <f t="shared" si="3"/>
        <v/>
      </c>
      <c r="G45" s="59" t="str">
        <f t="shared" si="3"/>
        <v/>
      </c>
      <c r="H45" s="59">
        <f t="shared" ca="1" si="3"/>
        <v>0.77301304038161855</v>
      </c>
      <c r="I45" s="59">
        <f t="shared" ca="1" si="3"/>
        <v>1.2645184991695073</v>
      </c>
      <c r="J45" s="59">
        <f t="shared" ca="1" si="3"/>
        <v>2.0310117626694293</v>
      </c>
      <c r="K45" s="59">
        <f t="shared" ca="1" si="3"/>
        <v>3.1909878030743224</v>
      </c>
      <c r="L45" s="59">
        <f t="shared" ca="1" si="3"/>
        <v>4.8802783770561673</v>
      </c>
      <c r="M45" s="59">
        <f t="shared" ca="1" si="3"/>
        <v>7.2191370408760855</v>
      </c>
      <c r="N45" s="59">
        <f t="shared" ca="1" si="3"/>
        <v>10.242885131164877</v>
      </c>
      <c r="O45" s="59">
        <f t="shared" ca="1" si="3"/>
        <v>13.798942289196262</v>
      </c>
      <c r="P45" s="59">
        <f t="shared" ca="1" si="3"/>
        <v>17.453564953226063</v>
      </c>
      <c r="Q45" s="56">
        <f t="shared" ca="1" si="4"/>
        <v>20.969350611361492</v>
      </c>
    </row>
    <row r="46" spans="1:17" x14ac:dyDescent="0.2">
      <c r="A46" s="49">
        <v>5</v>
      </c>
      <c r="B46" s="59" t="str">
        <f t="shared" si="3"/>
        <v/>
      </c>
      <c r="C46" s="59" t="str">
        <f t="shared" si="3"/>
        <v/>
      </c>
      <c r="D46" s="59" t="str">
        <f t="shared" si="3"/>
        <v/>
      </c>
      <c r="E46" s="59" t="str">
        <f t="shared" si="3"/>
        <v/>
      </c>
      <c r="F46" s="59" t="str">
        <f t="shared" si="3"/>
        <v/>
      </c>
      <c r="G46" s="59">
        <f t="shared" ca="1" si="3"/>
        <v>1.6746985095614064</v>
      </c>
      <c r="H46" s="59">
        <f t="shared" ca="1" si="3"/>
        <v>2.5507284169335933</v>
      </c>
      <c r="I46" s="59">
        <f t="shared" ca="1" si="3"/>
        <v>3.8004482583419978</v>
      </c>
      <c r="J46" s="59">
        <f t="shared" ca="1" si="3"/>
        <v>5.5198768534822813</v>
      </c>
      <c r="K46" s="59">
        <f t="shared" ca="1" si="3"/>
        <v>7.7832868761062874</v>
      </c>
      <c r="L46" s="59">
        <f t="shared" ca="1" si="3"/>
        <v>10.60526734379008</v>
      </c>
      <c r="M46" s="59">
        <f t="shared" ca="1" si="3"/>
        <v>13.897887694796179</v>
      </c>
      <c r="N46" s="59">
        <f t="shared" ca="1" si="3"/>
        <v>17.453564953226049</v>
      </c>
      <c r="O46" s="59">
        <f t="shared" ca="1" si="3"/>
        <v>20.969350611361477</v>
      </c>
      <c r="P46" s="59">
        <f t="shared" ca="1" si="3"/>
        <v>24.351573601332504</v>
      </c>
      <c r="Q46" s="56">
        <f t="shared" ca="1" si="4"/>
        <v>27.605307891822605</v>
      </c>
    </row>
    <row r="47" spans="1:17" x14ac:dyDescent="0.2">
      <c r="A47" s="49">
        <v>4</v>
      </c>
      <c r="B47" s="59" t="str">
        <f t="shared" si="3"/>
        <v/>
      </c>
      <c r="C47" s="59" t="str">
        <f t="shared" si="3"/>
        <v/>
      </c>
      <c r="D47" s="59" t="str">
        <f t="shared" si="3"/>
        <v/>
      </c>
      <c r="E47" s="59" t="str">
        <f t="shared" si="3"/>
        <v/>
      </c>
      <c r="F47" s="59">
        <f t="shared" ca="1" si="3"/>
        <v>3.0257041414688728</v>
      </c>
      <c r="G47" s="59">
        <f t="shared" ca="1" si="3"/>
        <v>4.3386090230820686</v>
      </c>
      <c r="H47" s="59">
        <f t="shared" ca="1" si="3"/>
        <v>6.0762879477918945</v>
      </c>
      <c r="I47" s="59">
        <f t="shared" ca="1" si="3"/>
        <v>8.2885882374265467</v>
      </c>
      <c r="J47" s="59">
        <f t="shared" ca="1" si="3"/>
        <v>10.980588503363515</v>
      </c>
      <c r="K47" s="59">
        <f t="shared" ca="1" si="3"/>
        <v>14.090229820979296</v>
      </c>
      <c r="L47" s="59">
        <f t="shared" ca="1" si="3"/>
        <v>17.481038926598934</v>
      </c>
      <c r="M47" s="59">
        <f t="shared" ca="1" si="3"/>
        <v>20.969350611361477</v>
      </c>
      <c r="N47" s="59">
        <f t="shared" ca="1" si="3"/>
        <v>24.351573601332504</v>
      </c>
      <c r="O47" s="59">
        <f t="shared" ca="1" si="3"/>
        <v>27.605307891822605</v>
      </c>
      <c r="P47" s="59">
        <f t="shared" ca="1" si="3"/>
        <v>30.735434694373197</v>
      </c>
      <c r="Q47" s="56">
        <f t="shared" ca="1" si="4"/>
        <v>33.746649786116222</v>
      </c>
    </row>
    <row r="48" spans="1:17" x14ac:dyDescent="0.2">
      <c r="A48" s="49">
        <v>3</v>
      </c>
      <c r="B48" s="59" t="str">
        <f t="shared" si="3"/>
        <v/>
      </c>
      <c r="C48" s="59" t="str">
        <f t="shared" si="3"/>
        <v/>
      </c>
      <c r="D48" s="59" t="str">
        <f t="shared" si="3"/>
        <v/>
      </c>
      <c r="E48" s="59">
        <f t="shared" ca="1" si="3"/>
        <v>4.8252906019772048</v>
      </c>
      <c r="F48" s="59">
        <f t="shared" ca="1" si="3"/>
        <v>6.5746477280036828</v>
      </c>
      <c r="G48" s="59">
        <f t="shared" ca="1" si="3"/>
        <v>8.7486554099350951</v>
      </c>
      <c r="H48" s="59">
        <f t="shared" ca="1" si="3"/>
        <v>11.347472771456999</v>
      </c>
      <c r="I48" s="59">
        <f t="shared" ca="1" si="3"/>
        <v>14.32304523687665</v>
      </c>
      <c r="J48" s="59">
        <f t="shared" ca="1" si="3"/>
        <v>17.575730094233812</v>
      </c>
      <c r="K48" s="59">
        <f t="shared" ca="1" si="3"/>
        <v>20.969350611361477</v>
      </c>
      <c r="L48" s="59">
        <f t="shared" ca="1" si="3"/>
        <v>24.351573601332504</v>
      </c>
      <c r="M48" s="59">
        <f t="shared" ca="1" si="3"/>
        <v>27.605307891822605</v>
      </c>
      <c r="N48" s="59">
        <f t="shared" ca="1" si="3"/>
        <v>30.735434694373197</v>
      </c>
      <c r="O48" s="59">
        <f t="shared" ca="1" si="3"/>
        <v>33.746649786116222</v>
      </c>
      <c r="P48" s="59">
        <f t="shared" ca="1" si="3"/>
        <v>36.643470554320359</v>
      </c>
      <c r="Q48" s="56">
        <f t="shared" ca="1" si="4"/>
        <v>39.43024277331898</v>
      </c>
    </row>
    <row r="49" spans="1:17" x14ac:dyDescent="0.2">
      <c r="A49" s="49">
        <v>2</v>
      </c>
      <c r="B49" s="59" t="str">
        <f t="shared" si="3"/>
        <v/>
      </c>
      <c r="C49" s="59" t="str">
        <f t="shared" si="3"/>
        <v/>
      </c>
      <c r="D49" s="59">
        <f t="shared" ca="1" si="3"/>
        <v>7.0294978334576657</v>
      </c>
      <c r="E49" s="59">
        <f t="shared" ca="1" si="3"/>
        <v>9.1729173591984079</v>
      </c>
      <c r="F49" s="59">
        <f t="shared" ca="1" si="3"/>
        <v>11.700114280624893</v>
      </c>
      <c r="G49" s="59">
        <f t="shared" ca="1" si="3"/>
        <v>14.571680361464477</v>
      </c>
      <c r="H49" s="59">
        <f t="shared" ca="1" si="3"/>
        <v>17.709788198153923</v>
      </c>
      <c r="I49" s="59">
        <f t="shared" ca="1" si="3"/>
        <v>21.007669882517884</v>
      </c>
      <c r="J49" s="59">
        <f t="shared" ca="1" si="3"/>
        <v>24.351573601332504</v>
      </c>
      <c r="K49" s="59">
        <f t="shared" ca="1" si="3"/>
        <v>27.605307891822605</v>
      </c>
      <c r="L49" s="59">
        <f t="shared" ca="1" si="3"/>
        <v>30.735434694373197</v>
      </c>
      <c r="M49" s="59">
        <f t="shared" ca="1" si="3"/>
        <v>33.746649786116222</v>
      </c>
      <c r="N49" s="59">
        <f t="shared" ca="1" si="3"/>
        <v>36.643470554320359</v>
      </c>
      <c r="O49" s="59">
        <f t="shared" ca="1" si="3"/>
        <v>39.43024277331898</v>
      </c>
      <c r="P49" s="59">
        <f t="shared" ca="1" si="3"/>
        <v>42.111147123986484</v>
      </c>
      <c r="Q49" s="56">
        <f t="shared" ca="1" si="4"/>
        <v>44.690205465543585</v>
      </c>
    </row>
    <row r="50" spans="1:17" x14ac:dyDescent="0.2">
      <c r="A50" s="49">
        <v>1</v>
      </c>
      <c r="B50" s="59" t="str">
        <f t="shared" si="3"/>
        <v/>
      </c>
      <c r="C50" s="59">
        <f t="shared" ca="1" si="3"/>
        <v>9.5678621682180758</v>
      </c>
      <c r="D50" s="59">
        <f t="shared" ca="1" si="3"/>
        <v>12.037190792039002</v>
      </c>
      <c r="E50" s="59">
        <f t="shared" ca="1" si="3"/>
        <v>14.824379902655805</v>
      </c>
      <c r="F50" s="59">
        <f t="shared" ca="1" si="3"/>
        <v>17.86567733659253</v>
      </c>
      <c r="G50" s="59">
        <f t="shared" ca="1" si="3"/>
        <v>21.073667480875653</v>
      </c>
      <c r="H50" s="59">
        <f t="shared" ca="1" si="3"/>
        <v>24.351573601332504</v>
      </c>
      <c r="I50" s="59">
        <f t="shared" ca="1" si="3"/>
        <v>27.605307891822605</v>
      </c>
      <c r="J50" s="59">
        <f t="shared" ca="1" si="3"/>
        <v>30.735434694373197</v>
      </c>
      <c r="K50" s="59">
        <f t="shared" ca="1" si="3"/>
        <v>33.746649786116222</v>
      </c>
      <c r="L50" s="59">
        <f t="shared" ca="1" si="3"/>
        <v>36.643470554320359</v>
      </c>
      <c r="M50" s="59">
        <f t="shared" ca="1" si="3"/>
        <v>39.43024277331898</v>
      </c>
      <c r="N50" s="59">
        <f t="shared" ca="1" si="3"/>
        <v>42.111147123986484</v>
      </c>
      <c r="O50" s="59">
        <f t="shared" ca="1" si="3"/>
        <v>44.690205465543585</v>
      </c>
      <c r="P50" s="59">
        <f t="shared" ca="1" si="3"/>
        <v>47.171286869100221</v>
      </c>
      <c r="Q50" s="56">
        <f t="shared" ca="1" si="4"/>
        <v>49.558113421987763</v>
      </c>
    </row>
    <row r="51" spans="1:17" x14ac:dyDescent="0.2">
      <c r="A51" s="49">
        <v>0</v>
      </c>
      <c r="B51" s="59">
        <f t="shared" ca="1" si="3"/>
        <v>12.359784797284899</v>
      </c>
      <c r="C51" s="59">
        <f t="shared" ca="1" si="3"/>
        <v>15.076981871408204</v>
      </c>
      <c r="D51" s="59">
        <f t="shared" ca="1" si="3"/>
        <v>18.036477300042723</v>
      </c>
      <c r="E51" s="59">
        <f t="shared" ca="1" si="3"/>
        <v>21.16511026267623</v>
      </c>
      <c r="F51" s="59">
        <f t="shared" ca="1" si="3"/>
        <v>24.380542405888736</v>
      </c>
      <c r="G51" s="59">
        <f t="shared" ca="1" si="3"/>
        <v>27.605307891822591</v>
      </c>
      <c r="H51" s="59">
        <f t="shared" ca="1" si="3"/>
        <v>30.735434694373183</v>
      </c>
      <c r="I51" s="59">
        <f t="shared" ca="1" si="3"/>
        <v>33.746649786116208</v>
      </c>
      <c r="J51" s="59">
        <f t="shared" ca="1" si="3"/>
        <v>36.643470554320345</v>
      </c>
      <c r="K51" s="59">
        <f t="shared" ca="1" si="3"/>
        <v>39.430242773318966</v>
      </c>
      <c r="L51" s="59">
        <f t="shared" ca="1" si="3"/>
        <v>42.11114712398647</v>
      </c>
      <c r="M51" s="59">
        <f t="shared" ca="1" si="3"/>
        <v>44.690205465543571</v>
      </c>
      <c r="N51" s="59">
        <f t="shared" ca="1" si="3"/>
        <v>47.171286869100207</v>
      </c>
      <c r="O51" s="59">
        <f t="shared" ca="1" si="3"/>
        <v>49.558113421987748</v>
      </c>
      <c r="P51" s="59">
        <f ca="1">IF($A51 &lt;= P$35, MAX(MAX(($G$3-P31),0), ($B$10*Q50+$B$11*Q51)/EXP($B$6 * $B$3/$B$5)),"")</f>
        <v>51.854265811587879</v>
      </c>
      <c r="Q51" s="56">
        <f ca="1">MAX($G$2*(Q31-$G$3),0)</f>
        <v>54.063188697035102</v>
      </c>
    </row>
  </sheetData>
  <mergeCells count="2">
    <mergeCell ref="A1:B1"/>
    <mergeCell ref="F1:G1"/>
  </mergeCells>
  <dataValidations count="1">
    <dataValidation type="list" allowBlank="1" showInputMessage="1" showErrorMessage="1" sqref="G2">
      <formula1>"1, -1"</formula1>
    </dataValidation>
  </dataValidations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1"/>
  <sheetViews>
    <sheetView showGridLines="0" topLeftCell="A23" workbookViewId="0">
      <selection activeCell="Q54" sqref="Q54"/>
    </sheetView>
  </sheetViews>
  <sheetFormatPr baseColWidth="10" defaultColWidth="9.140625" defaultRowHeight="12.75" x14ac:dyDescent="0.2"/>
  <cols>
    <col min="1" max="5" width="9.140625" style="49"/>
    <col min="6" max="6" width="9.28515625" style="49" customWidth="1"/>
    <col min="7" max="7" width="8.28515625" style="49" bestFit="1" customWidth="1"/>
    <col min="8" max="262" width="9.140625" style="49"/>
    <col min="263" max="263" width="8.28515625" style="49" bestFit="1" customWidth="1"/>
    <col min="264" max="518" width="9.140625" style="49"/>
    <col min="519" max="519" width="8.28515625" style="49" bestFit="1" customWidth="1"/>
    <col min="520" max="774" width="9.140625" style="49"/>
    <col min="775" max="775" width="8.28515625" style="49" bestFit="1" customWidth="1"/>
    <col min="776" max="1030" width="9.140625" style="49"/>
    <col min="1031" max="1031" width="8.28515625" style="49" bestFit="1" customWidth="1"/>
    <col min="1032" max="1286" width="9.140625" style="49"/>
    <col min="1287" max="1287" width="8.28515625" style="49" bestFit="1" customWidth="1"/>
    <col min="1288" max="1542" width="9.140625" style="49"/>
    <col min="1543" max="1543" width="8.28515625" style="49" bestFit="1" customWidth="1"/>
    <col min="1544" max="1798" width="9.140625" style="49"/>
    <col min="1799" max="1799" width="8.28515625" style="49" bestFit="1" customWidth="1"/>
    <col min="1800" max="2054" width="9.140625" style="49"/>
    <col min="2055" max="2055" width="8.28515625" style="49" bestFit="1" customWidth="1"/>
    <col min="2056" max="2310" width="9.140625" style="49"/>
    <col min="2311" max="2311" width="8.28515625" style="49" bestFit="1" customWidth="1"/>
    <col min="2312" max="2566" width="9.140625" style="49"/>
    <col min="2567" max="2567" width="8.28515625" style="49" bestFit="1" customWidth="1"/>
    <col min="2568" max="2822" width="9.140625" style="49"/>
    <col min="2823" max="2823" width="8.28515625" style="49" bestFit="1" customWidth="1"/>
    <col min="2824" max="3078" width="9.140625" style="49"/>
    <col min="3079" max="3079" width="8.28515625" style="49" bestFit="1" customWidth="1"/>
    <col min="3080" max="3334" width="9.140625" style="49"/>
    <col min="3335" max="3335" width="8.28515625" style="49" bestFit="1" customWidth="1"/>
    <col min="3336" max="3590" width="9.140625" style="49"/>
    <col min="3591" max="3591" width="8.28515625" style="49" bestFit="1" customWidth="1"/>
    <col min="3592" max="3846" width="9.140625" style="49"/>
    <col min="3847" max="3847" width="8.28515625" style="49" bestFit="1" customWidth="1"/>
    <col min="3848" max="4102" width="9.140625" style="49"/>
    <col min="4103" max="4103" width="8.28515625" style="49" bestFit="1" customWidth="1"/>
    <col min="4104" max="4358" width="9.140625" style="49"/>
    <col min="4359" max="4359" width="8.28515625" style="49" bestFit="1" customWidth="1"/>
    <col min="4360" max="4614" width="9.140625" style="49"/>
    <col min="4615" max="4615" width="8.28515625" style="49" bestFit="1" customWidth="1"/>
    <col min="4616" max="4870" width="9.140625" style="49"/>
    <col min="4871" max="4871" width="8.28515625" style="49" bestFit="1" customWidth="1"/>
    <col min="4872" max="5126" width="9.140625" style="49"/>
    <col min="5127" max="5127" width="8.28515625" style="49" bestFit="1" customWidth="1"/>
    <col min="5128" max="5382" width="9.140625" style="49"/>
    <col min="5383" max="5383" width="8.28515625" style="49" bestFit="1" customWidth="1"/>
    <col min="5384" max="5638" width="9.140625" style="49"/>
    <col min="5639" max="5639" width="8.28515625" style="49" bestFit="1" customWidth="1"/>
    <col min="5640" max="5894" width="9.140625" style="49"/>
    <col min="5895" max="5895" width="8.28515625" style="49" bestFit="1" customWidth="1"/>
    <col min="5896" max="6150" width="9.140625" style="49"/>
    <col min="6151" max="6151" width="8.28515625" style="49" bestFit="1" customWidth="1"/>
    <col min="6152" max="6406" width="9.140625" style="49"/>
    <col min="6407" max="6407" width="8.28515625" style="49" bestFit="1" customWidth="1"/>
    <col min="6408" max="6662" width="9.140625" style="49"/>
    <col min="6663" max="6663" width="8.28515625" style="49" bestFit="1" customWidth="1"/>
    <col min="6664" max="6918" width="9.140625" style="49"/>
    <col min="6919" max="6919" width="8.28515625" style="49" bestFit="1" customWidth="1"/>
    <col min="6920" max="7174" width="9.140625" style="49"/>
    <col min="7175" max="7175" width="8.28515625" style="49" bestFit="1" customWidth="1"/>
    <col min="7176" max="7430" width="9.140625" style="49"/>
    <col min="7431" max="7431" width="8.28515625" style="49" bestFit="1" customWidth="1"/>
    <col min="7432" max="7686" width="9.140625" style="49"/>
    <col min="7687" max="7687" width="8.28515625" style="49" bestFit="1" customWidth="1"/>
    <col min="7688" max="7942" width="9.140625" style="49"/>
    <col min="7943" max="7943" width="8.28515625" style="49" bestFit="1" customWidth="1"/>
    <col min="7944" max="8198" width="9.140625" style="49"/>
    <col min="8199" max="8199" width="8.28515625" style="49" bestFit="1" customWidth="1"/>
    <col min="8200" max="8454" width="9.140625" style="49"/>
    <col min="8455" max="8455" width="8.28515625" style="49" bestFit="1" customWidth="1"/>
    <col min="8456" max="8710" width="9.140625" style="49"/>
    <col min="8711" max="8711" width="8.28515625" style="49" bestFit="1" customWidth="1"/>
    <col min="8712" max="8966" width="9.140625" style="49"/>
    <col min="8967" max="8967" width="8.28515625" style="49" bestFit="1" customWidth="1"/>
    <col min="8968" max="9222" width="9.140625" style="49"/>
    <col min="9223" max="9223" width="8.28515625" style="49" bestFit="1" customWidth="1"/>
    <col min="9224" max="9478" width="9.140625" style="49"/>
    <col min="9479" max="9479" width="8.28515625" style="49" bestFit="1" customWidth="1"/>
    <col min="9480" max="9734" width="9.140625" style="49"/>
    <col min="9735" max="9735" width="8.28515625" style="49" bestFit="1" customWidth="1"/>
    <col min="9736" max="9990" width="9.140625" style="49"/>
    <col min="9991" max="9991" width="8.28515625" style="49" bestFit="1" customWidth="1"/>
    <col min="9992" max="10246" width="9.140625" style="49"/>
    <col min="10247" max="10247" width="8.28515625" style="49" bestFit="1" customWidth="1"/>
    <col min="10248" max="10502" width="9.140625" style="49"/>
    <col min="10503" max="10503" width="8.28515625" style="49" bestFit="1" customWidth="1"/>
    <col min="10504" max="10758" width="9.140625" style="49"/>
    <col min="10759" max="10759" width="8.28515625" style="49" bestFit="1" customWidth="1"/>
    <col min="10760" max="11014" width="9.140625" style="49"/>
    <col min="11015" max="11015" width="8.28515625" style="49" bestFit="1" customWidth="1"/>
    <col min="11016" max="11270" width="9.140625" style="49"/>
    <col min="11271" max="11271" width="8.28515625" style="49" bestFit="1" customWidth="1"/>
    <col min="11272" max="11526" width="9.140625" style="49"/>
    <col min="11527" max="11527" width="8.28515625" style="49" bestFit="1" customWidth="1"/>
    <col min="11528" max="11782" width="9.140625" style="49"/>
    <col min="11783" max="11783" width="8.28515625" style="49" bestFit="1" customWidth="1"/>
    <col min="11784" max="12038" width="9.140625" style="49"/>
    <col min="12039" max="12039" width="8.28515625" style="49" bestFit="1" customWidth="1"/>
    <col min="12040" max="12294" width="9.140625" style="49"/>
    <col min="12295" max="12295" width="8.28515625" style="49" bestFit="1" customWidth="1"/>
    <col min="12296" max="12550" width="9.140625" style="49"/>
    <col min="12551" max="12551" width="8.28515625" style="49" bestFit="1" customWidth="1"/>
    <col min="12552" max="12806" width="9.140625" style="49"/>
    <col min="12807" max="12807" width="8.28515625" style="49" bestFit="1" customWidth="1"/>
    <col min="12808" max="13062" width="9.140625" style="49"/>
    <col min="13063" max="13063" width="8.28515625" style="49" bestFit="1" customWidth="1"/>
    <col min="13064" max="13318" width="9.140625" style="49"/>
    <col min="13319" max="13319" width="8.28515625" style="49" bestFit="1" customWidth="1"/>
    <col min="13320" max="13574" width="9.140625" style="49"/>
    <col min="13575" max="13575" width="8.28515625" style="49" bestFit="1" customWidth="1"/>
    <col min="13576" max="13830" width="9.140625" style="49"/>
    <col min="13831" max="13831" width="8.28515625" style="49" bestFit="1" customWidth="1"/>
    <col min="13832" max="14086" width="9.140625" style="49"/>
    <col min="14087" max="14087" width="8.28515625" style="49" bestFit="1" customWidth="1"/>
    <col min="14088" max="14342" width="9.140625" style="49"/>
    <col min="14343" max="14343" width="8.28515625" style="49" bestFit="1" customWidth="1"/>
    <col min="14344" max="14598" width="9.140625" style="49"/>
    <col min="14599" max="14599" width="8.28515625" style="49" bestFit="1" customWidth="1"/>
    <col min="14600" max="14854" width="9.140625" style="49"/>
    <col min="14855" max="14855" width="8.28515625" style="49" bestFit="1" customWidth="1"/>
    <col min="14856" max="15110" width="9.140625" style="49"/>
    <col min="15111" max="15111" width="8.28515625" style="49" bestFit="1" customWidth="1"/>
    <col min="15112" max="15366" width="9.140625" style="49"/>
    <col min="15367" max="15367" width="8.28515625" style="49" bestFit="1" customWidth="1"/>
    <col min="15368" max="15622" width="9.140625" style="49"/>
    <col min="15623" max="15623" width="8.28515625" style="49" bestFit="1" customWidth="1"/>
    <col min="15624" max="15878" width="9.140625" style="49"/>
    <col min="15879" max="15879" width="8.28515625" style="49" bestFit="1" customWidth="1"/>
    <col min="15880" max="16134" width="9.140625" style="49"/>
    <col min="16135" max="16135" width="8.28515625" style="49" bestFit="1" customWidth="1"/>
    <col min="16136" max="16384" width="9.140625" style="49"/>
  </cols>
  <sheetData>
    <row r="1" spans="1:17" ht="13.5" thickBot="1" x14ac:dyDescent="0.25">
      <c r="A1" s="75" t="s">
        <v>0</v>
      </c>
      <c r="B1" s="76"/>
      <c r="F1" s="75" t="s">
        <v>1</v>
      </c>
      <c r="G1" s="76"/>
    </row>
    <row r="2" spans="1:17" x14ac:dyDescent="0.2">
      <c r="A2" s="3" t="s">
        <v>2</v>
      </c>
      <c r="B2" s="4">
        <v>100</v>
      </c>
      <c r="F2" s="50" t="s">
        <v>20</v>
      </c>
      <c r="G2" s="42">
        <v>-1</v>
      </c>
    </row>
    <row r="3" spans="1:17" ht="15.75" thickBot="1" x14ac:dyDescent="0.3">
      <c r="A3" s="7" t="s">
        <v>4</v>
      </c>
      <c r="B3" s="8">
        <v>0.25</v>
      </c>
      <c r="F3" s="51" t="s">
        <v>3</v>
      </c>
      <c r="G3" s="52">
        <v>110</v>
      </c>
    </row>
    <row r="4" spans="1:17" ht="15" x14ac:dyDescent="0.25">
      <c r="A4" s="7" t="s">
        <v>5</v>
      </c>
      <c r="B4" s="10">
        <v>0.3</v>
      </c>
    </row>
    <row r="5" spans="1:17" x14ac:dyDescent="0.2">
      <c r="A5" s="7" t="s">
        <v>6</v>
      </c>
      <c r="B5" s="11">
        <v>15</v>
      </c>
    </row>
    <row r="6" spans="1:17" ht="15" x14ac:dyDescent="0.25">
      <c r="A6" s="7" t="s">
        <v>23</v>
      </c>
      <c r="B6" s="46">
        <v>0.02</v>
      </c>
    </row>
    <row r="7" spans="1:17" ht="15.75" thickBot="1" x14ac:dyDescent="0.3">
      <c r="A7" s="47" t="s">
        <v>24</v>
      </c>
      <c r="B7" s="48">
        <v>0.01</v>
      </c>
    </row>
    <row r="8" spans="1:17" x14ac:dyDescent="0.2">
      <c r="A8" s="13" t="s">
        <v>8</v>
      </c>
      <c r="B8" s="14">
        <f>EXP(B4*SQRT(B3/B5))</f>
        <v>1.0394896104013376</v>
      </c>
    </row>
    <row r="9" spans="1:17" x14ac:dyDescent="0.2">
      <c r="A9" s="15" t="s">
        <v>9</v>
      </c>
      <c r="B9" s="16">
        <f>1/B8</f>
        <v>0.96201057710803761</v>
      </c>
    </row>
    <row r="10" spans="1:17" x14ac:dyDescent="0.2">
      <c r="A10" s="15" t="s">
        <v>10</v>
      </c>
      <c r="B10" s="18">
        <f>(EXP((B6 - B7) * B3/B5) - B9) / (B8 - B9)</f>
        <v>0.49247005062451049</v>
      </c>
    </row>
    <row r="11" spans="1:17" ht="13.5" thickBot="1" x14ac:dyDescent="0.25">
      <c r="A11" s="19" t="s">
        <v>11</v>
      </c>
      <c r="B11" s="20">
        <f>1 - B10</f>
        <v>0.50752994937548945</v>
      </c>
    </row>
    <row r="12" spans="1:17" ht="10.5" customHeight="1" x14ac:dyDescent="0.2"/>
    <row r="13" spans="1:17" hidden="1" x14ac:dyDescent="0.2"/>
    <row r="15" spans="1:17" x14ac:dyDescent="0.2">
      <c r="B15" s="54">
        <v>0</v>
      </c>
      <c r="C15" s="54">
        <v>1</v>
      </c>
      <c r="D15" s="54">
        <v>2</v>
      </c>
      <c r="E15" s="54">
        <v>3</v>
      </c>
      <c r="F15" s="54">
        <v>4</v>
      </c>
      <c r="G15" s="54">
        <v>5</v>
      </c>
      <c r="H15" s="54">
        <v>6</v>
      </c>
      <c r="I15" s="54">
        <v>7</v>
      </c>
      <c r="J15" s="54">
        <v>8</v>
      </c>
      <c r="K15" s="54">
        <v>9</v>
      </c>
      <c r="L15" s="49">
        <v>10</v>
      </c>
      <c r="M15" s="49">
        <v>11</v>
      </c>
      <c r="N15" s="49">
        <v>12</v>
      </c>
      <c r="O15" s="49">
        <v>13</v>
      </c>
      <c r="P15" s="49">
        <v>14</v>
      </c>
      <c r="Q15" s="49">
        <v>15</v>
      </c>
    </row>
    <row r="16" spans="1:17" x14ac:dyDescent="0.2">
      <c r="A16" s="49">
        <v>15</v>
      </c>
      <c r="B16" s="54"/>
      <c r="C16" s="55" t="str">
        <f t="shared" ref="C16:Q31" ca="1" si="0">IF($A16&lt;C$15,$B$9*OFFSET(C16,0,-1),IF($A16=C$15,$B$8*OFFSET(C16,1,-1),""))</f>
        <v/>
      </c>
      <c r="D16" s="55" t="str">
        <f t="shared" ca="1" si="0"/>
        <v/>
      </c>
      <c r="E16" s="55" t="str">
        <f t="shared" ca="1" si="0"/>
        <v/>
      </c>
      <c r="F16" s="55" t="str">
        <f t="shared" ca="1" si="0"/>
        <v/>
      </c>
      <c r="G16" s="55" t="str">
        <f t="shared" ca="1" si="0"/>
        <v/>
      </c>
      <c r="H16" s="55" t="str">
        <f t="shared" ca="1" si="0"/>
        <v/>
      </c>
      <c r="I16" s="55" t="str">
        <f t="shared" ca="1" si="0"/>
        <v/>
      </c>
      <c r="J16" s="55" t="str">
        <f t="shared" ca="1" si="0"/>
        <v/>
      </c>
      <c r="K16" s="55" t="str">
        <f t="shared" ca="1" si="0"/>
        <v/>
      </c>
      <c r="L16" s="55" t="str">
        <f t="shared" ca="1" si="0"/>
        <v/>
      </c>
      <c r="M16" s="55" t="str">
        <f t="shared" ca="1" si="0"/>
        <v/>
      </c>
      <c r="N16" s="55" t="str">
        <f t="shared" ca="1" si="0"/>
        <v/>
      </c>
      <c r="O16" s="55" t="str">
        <f t="shared" ca="1" si="0"/>
        <v/>
      </c>
      <c r="P16" s="55" t="str">
        <f t="shared" ca="1" si="0"/>
        <v/>
      </c>
      <c r="Q16" s="55">
        <f t="shared" ca="1" si="0"/>
        <v>178.77315075823685</v>
      </c>
    </row>
    <row r="17" spans="1:17" x14ac:dyDescent="0.2">
      <c r="A17" s="49">
        <v>14</v>
      </c>
      <c r="B17" s="54"/>
      <c r="C17" s="55" t="str">
        <f t="shared" ca="1" si="0"/>
        <v/>
      </c>
      <c r="D17" s="55" t="str">
        <f t="shared" ca="1" si="0"/>
        <v/>
      </c>
      <c r="E17" s="55" t="str">
        <f t="shared" ca="1" si="0"/>
        <v/>
      </c>
      <c r="F17" s="55" t="str">
        <f t="shared" ca="1" si="0"/>
        <v/>
      </c>
      <c r="G17" s="55" t="str">
        <f t="shared" ca="1" si="0"/>
        <v/>
      </c>
      <c r="H17" s="55" t="str">
        <f t="shared" ca="1" si="0"/>
        <v/>
      </c>
      <c r="I17" s="55" t="str">
        <f t="shared" ca="1" si="0"/>
        <v/>
      </c>
      <c r="J17" s="55" t="str">
        <f t="shared" ca="1" si="0"/>
        <v/>
      </c>
      <c r="K17" s="55" t="str">
        <f t="shared" ca="1" si="0"/>
        <v/>
      </c>
      <c r="L17" s="55" t="str">
        <f t="shared" ca="1" si="0"/>
        <v/>
      </c>
      <c r="M17" s="55" t="str">
        <f t="shared" ca="1" si="0"/>
        <v/>
      </c>
      <c r="N17" s="55" t="str">
        <f t="shared" ca="1" si="0"/>
        <v/>
      </c>
      <c r="O17" s="55" t="str">
        <f t="shared" ca="1" si="0"/>
        <v/>
      </c>
      <c r="P17" s="55">
        <f t="shared" ca="1" si="0"/>
        <v>171.98166193235366</v>
      </c>
      <c r="Q17" s="55">
        <f t="shared" ca="1" si="0"/>
        <v>165.44817784754298</v>
      </c>
    </row>
    <row r="18" spans="1:17" x14ac:dyDescent="0.2">
      <c r="A18" s="49">
        <v>13</v>
      </c>
      <c r="B18" s="54"/>
      <c r="C18" s="55" t="str">
        <f t="shared" ca="1" si="0"/>
        <v/>
      </c>
      <c r="D18" s="55" t="str">
        <f t="shared" ca="1" si="0"/>
        <v/>
      </c>
      <c r="E18" s="55" t="str">
        <f t="shared" ca="1" si="0"/>
        <v/>
      </c>
      <c r="F18" s="55" t="str">
        <f t="shared" ca="1" si="0"/>
        <v/>
      </c>
      <c r="G18" s="55" t="str">
        <f t="shared" ca="1" si="0"/>
        <v/>
      </c>
      <c r="H18" s="55" t="str">
        <f t="shared" ca="1" si="0"/>
        <v/>
      </c>
      <c r="I18" s="55" t="str">
        <f t="shared" ca="1" si="0"/>
        <v/>
      </c>
      <c r="J18" s="55" t="str">
        <f t="shared" ca="1" si="0"/>
        <v/>
      </c>
      <c r="K18" s="55" t="str">
        <f t="shared" ca="1" si="0"/>
        <v/>
      </c>
      <c r="L18" s="55" t="str">
        <f t="shared" ca="1" si="0"/>
        <v/>
      </c>
      <c r="M18" s="55" t="str">
        <f t="shared" ca="1" si="0"/>
        <v/>
      </c>
      <c r="N18" s="55" t="str">
        <f t="shared" ca="1" si="0"/>
        <v/>
      </c>
      <c r="O18" s="55">
        <f t="shared" ca="1" si="0"/>
        <v>165.44817784754298</v>
      </c>
      <c r="P18" s="55">
        <f t="shared" ca="1" si="0"/>
        <v>159.16289705258808</v>
      </c>
      <c r="Q18" s="55">
        <f t="shared" ca="1" si="0"/>
        <v>153.11639044774745</v>
      </c>
    </row>
    <row r="19" spans="1:17" x14ac:dyDescent="0.2">
      <c r="A19" s="49">
        <v>12</v>
      </c>
      <c r="B19" s="54"/>
      <c r="C19" s="55" t="str">
        <f t="shared" ca="1" si="0"/>
        <v/>
      </c>
      <c r="D19" s="55" t="str">
        <f t="shared" ca="1" si="0"/>
        <v/>
      </c>
      <c r="E19" s="55" t="str">
        <f t="shared" ca="1" si="0"/>
        <v/>
      </c>
      <c r="F19" s="55" t="str">
        <f t="shared" ca="1" si="0"/>
        <v/>
      </c>
      <c r="G19" s="55" t="str">
        <f t="shared" ca="1" si="0"/>
        <v/>
      </c>
      <c r="H19" s="55" t="str">
        <f t="shared" ca="1" si="0"/>
        <v/>
      </c>
      <c r="I19" s="55" t="str">
        <f t="shared" ca="1" si="0"/>
        <v/>
      </c>
      <c r="J19" s="55" t="str">
        <f t="shared" ca="1" si="0"/>
        <v/>
      </c>
      <c r="K19" s="55" t="str">
        <f t="shared" ca="1" si="0"/>
        <v/>
      </c>
      <c r="L19" s="55" t="str">
        <f t="shared" ca="1" si="0"/>
        <v/>
      </c>
      <c r="M19" s="55" t="str">
        <f t="shared" ca="1" si="0"/>
        <v/>
      </c>
      <c r="N19" s="55">
        <f t="shared" ca="1" si="0"/>
        <v>159.16289705258808</v>
      </c>
      <c r="O19" s="55">
        <f t="shared" ca="1" si="0"/>
        <v>153.11639044774745</v>
      </c>
      <c r="P19" s="55">
        <f t="shared" ca="1" si="0"/>
        <v>147.29958713933715</v>
      </c>
      <c r="Q19" s="55">
        <f t="shared" ca="1" si="0"/>
        <v>141.70376083168941</v>
      </c>
    </row>
    <row r="20" spans="1:17" x14ac:dyDescent="0.2">
      <c r="A20" s="49">
        <v>11</v>
      </c>
      <c r="B20" s="54"/>
      <c r="C20" s="55" t="str">
        <f t="shared" ca="1" si="0"/>
        <v/>
      </c>
      <c r="D20" s="55" t="str">
        <f t="shared" ca="1" si="0"/>
        <v/>
      </c>
      <c r="E20" s="55" t="str">
        <f t="shared" ca="1" si="0"/>
        <v/>
      </c>
      <c r="F20" s="55" t="str">
        <f t="shared" ca="1" si="0"/>
        <v/>
      </c>
      <c r="G20" s="55" t="str">
        <f t="shared" ca="1" si="0"/>
        <v/>
      </c>
      <c r="H20" s="55" t="str">
        <f t="shared" ca="1" si="0"/>
        <v/>
      </c>
      <c r="I20" s="55" t="str">
        <f t="shared" ca="1" si="0"/>
        <v/>
      </c>
      <c r="J20" s="55" t="str">
        <f t="shared" ca="1" si="0"/>
        <v/>
      </c>
      <c r="K20" s="55" t="str">
        <f t="shared" ca="1" si="0"/>
        <v/>
      </c>
      <c r="L20" s="55" t="str">
        <f t="shared" ca="1" si="0"/>
        <v/>
      </c>
      <c r="M20" s="55">
        <f t="shared" ca="1" si="0"/>
        <v>153.11639044774745</v>
      </c>
      <c r="N20" s="55">
        <f t="shared" ca="1" si="0"/>
        <v>147.29958713933715</v>
      </c>
      <c r="O20" s="55">
        <f t="shared" ca="1" si="0"/>
        <v>141.70376083168941</v>
      </c>
      <c r="P20" s="55">
        <f t="shared" ca="1" si="0"/>
        <v>136.32051673607288</v>
      </c>
      <c r="Q20" s="55">
        <f t="shared" ca="1" si="0"/>
        <v>131.14177897693537</v>
      </c>
    </row>
    <row r="21" spans="1:17" x14ac:dyDescent="0.2">
      <c r="A21" s="49">
        <v>10</v>
      </c>
      <c r="B21" s="54"/>
      <c r="C21" s="55" t="str">
        <f t="shared" ca="1" si="0"/>
        <v/>
      </c>
      <c r="D21" s="55" t="str">
        <f t="shared" ca="1" si="0"/>
        <v/>
      </c>
      <c r="E21" s="55" t="str">
        <f t="shared" ca="1" si="0"/>
        <v/>
      </c>
      <c r="F21" s="55" t="str">
        <f t="shared" ca="1" si="0"/>
        <v/>
      </c>
      <c r="G21" s="55" t="str">
        <f t="shared" ca="1" si="0"/>
        <v/>
      </c>
      <c r="H21" s="55" t="str">
        <f t="shared" ca="1" si="0"/>
        <v/>
      </c>
      <c r="I21" s="55" t="str">
        <f t="shared" ca="1" si="0"/>
        <v/>
      </c>
      <c r="J21" s="55" t="str">
        <f t="shared" ca="1" si="0"/>
        <v/>
      </c>
      <c r="K21" s="55" t="str">
        <f t="shared" ca="1" si="0"/>
        <v/>
      </c>
      <c r="L21" s="55">
        <f t="shared" ca="1" si="0"/>
        <v>147.29958713933715</v>
      </c>
      <c r="M21" s="55">
        <f t="shared" ca="1" si="0"/>
        <v>141.70376083168941</v>
      </c>
      <c r="N21" s="55">
        <f t="shared" ca="1" si="0"/>
        <v>136.32051673607288</v>
      </c>
      <c r="O21" s="55">
        <f t="shared" ca="1" si="0"/>
        <v>131.14177897693537</v>
      </c>
      <c r="P21" s="55">
        <f t="shared" ca="1" si="0"/>
        <v>126.15977847657631</v>
      </c>
      <c r="Q21" s="55">
        <f t="shared" ca="1" si="0"/>
        <v>121.36704130007335</v>
      </c>
    </row>
    <row r="22" spans="1:17" x14ac:dyDescent="0.2">
      <c r="A22" s="49">
        <v>9</v>
      </c>
      <c r="B22" s="54"/>
      <c r="C22" s="55" t="str">
        <f t="shared" ca="1" si="0"/>
        <v/>
      </c>
      <c r="D22" s="55" t="str">
        <f t="shared" ca="1" si="0"/>
        <v/>
      </c>
      <c r="E22" s="55" t="str">
        <f t="shared" ca="1" si="0"/>
        <v/>
      </c>
      <c r="F22" s="55" t="str">
        <f t="shared" ca="1" si="0"/>
        <v/>
      </c>
      <c r="G22" s="55" t="str">
        <f t="shared" ca="1" si="0"/>
        <v/>
      </c>
      <c r="H22" s="55" t="str">
        <f t="shared" ca="1" si="0"/>
        <v/>
      </c>
      <c r="I22" s="55" t="str">
        <f t="shared" ca="1" si="0"/>
        <v/>
      </c>
      <c r="J22" s="55" t="str">
        <f t="shared" ca="1" si="0"/>
        <v/>
      </c>
      <c r="K22" s="55">
        <f t="shared" ca="1" si="0"/>
        <v>141.70376083168941</v>
      </c>
      <c r="L22" s="55">
        <f t="shared" ca="1" si="0"/>
        <v>136.32051673607288</v>
      </c>
      <c r="M22" s="55">
        <f t="shared" ca="1" si="0"/>
        <v>131.14177897693537</v>
      </c>
      <c r="N22" s="55">
        <f t="shared" ca="1" si="0"/>
        <v>126.15977847657631</v>
      </c>
      <c r="O22" s="55">
        <f t="shared" ca="1" si="0"/>
        <v>121.36704130007335</v>
      </c>
      <c r="P22" s="55">
        <f t="shared" ca="1" si="0"/>
        <v>116.7563774429786</v>
      </c>
      <c r="Q22" s="55">
        <f t="shared" ca="1" si="0"/>
        <v>112.32087004496371</v>
      </c>
    </row>
    <row r="23" spans="1:17" x14ac:dyDescent="0.2">
      <c r="A23" s="49">
        <v>8</v>
      </c>
      <c r="B23" s="54"/>
      <c r="C23" s="55" t="str">
        <f t="shared" ca="1" si="0"/>
        <v/>
      </c>
      <c r="D23" s="55" t="str">
        <f t="shared" ca="1" si="0"/>
        <v/>
      </c>
      <c r="E23" s="55" t="str">
        <f t="shared" ca="1" si="0"/>
        <v/>
      </c>
      <c r="F23" s="55" t="str">
        <f t="shared" ca="1" si="0"/>
        <v/>
      </c>
      <c r="G23" s="55" t="str">
        <f t="shared" ca="1" si="0"/>
        <v/>
      </c>
      <c r="H23" s="55" t="str">
        <f t="shared" ca="1" si="0"/>
        <v/>
      </c>
      <c r="I23" s="55" t="str">
        <f t="shared" ca="1" si="0"/>
        <v/>
      </c>
      <c r="J23" s="55">
        <f t="shared" ca="1" si="0"/>
        <v>136.32051673607288</v>
      </c>
      <c r="K23" s="55">
        <f t="shared" ca="1" si="0"/>
        <v>131.14177897693537</v>
      </c>
      <c r="L23" s="55">
        <f t="shared" ca="1" si="0"/>
        <v>126.15977847657631</v>
      </c>
      <c r="M23" s="55">
        <f t="shared" ca="1" si="0"/>
        <v>121.36704130007335</v>
      </c>
      <c r="N23" s="55">
        <f t="shared" ca="1" si="0"/>
        <v>116.7563774429786</v>
      </c>
      <c r="O23" s="55">
        <f t="shared" ca="1" si="0"/>
        <v>112.32087004496371</v>
      </c>
      <c r="P23" s="55">
        <f t="shared" ca="1" si="0"/>
        <v>108.05386501323244</v>
      </c>
      <c r="Q23" s="55">
        <f t="shared" ca="1" si="0"/>
        <v>103.94896104013374</v>
      </c>
    </row>
    <row r="24" spans="1:17" x14ac:dyDescent="0.2">
      <c r="A24" s="49">
        <v>7</v>
      </c>
      <c r="B24" s="54"/>
      <c r="C24" s="55" t="str">
        <f t="shared" ca="1" si="0"/>
        <v/>
      </c>
      <c r="D24" s="55" t="str">
        <f t="shared" ca="1" si="0"/>
        <v/>
      </c>
      <c r="E24" s="55" t="str">
        <f t="shared" ca="1" si="0"/>
        <v/>
      </c>
      <c r="F24" s="55" t="str">
        <f t="shared" ca="1" si="0"/>
        <v/>
      </c>
      <c r="G24" s="55" t="str">
        <f t="shared" ca="1" si="0"/>
        <v/>
      </c>
      <c r="H24" s="55" t="str">
        <f t="shared" ca="1" si="0"/>
        <v/>
      </c>
      <c r="I24" s="55">
        <f t="shared" ca="1" si="0"/>
        <v>131.14177897693537</v>
      </c>
      <c r="J24" s="55">
        <f t="shared" ca="1" si="0"/>
        <v>126.15977847657631</v>
      </c>
      <c r="K24" s="55">
        <f t="shared" ca="1" si="0"/>
        <v>121.36704130007335</v>
      </c>
      <c r="L24" s="55">
        <f t="shared" ca="1" si="0"/>
        <v>116.7563774429786</v>
      </c>
      <c r="M24" s="55">
        <f t="shared" ca="1" si="0"/>
        <v>112.32087004496371</v>
      </c>
      <c r="N24" s="55">
        <f t="shared" ca="1" si="0"/>
        <v>108.05386501323244</v>
      </c>
      <c r="O24" s="55">
        <f t="shared" ca="1" si="0"/>
        <v>103.94896104013374</v>
      </c>
      <c r="P24" s="55">
        <f t="shared" ca="1" si="0"/>
        <v>99.999999999999972</v>
      </c>
      <c r="Q24" s="55">
        <f t="shared" ca="1" si="0"/>
        <v>96.201057710803738</v>
      </c>
    </row>
    <row r="25" spans="1:17" x14ac:dyDescent="0.2">
      <c r="A25" s="49">
        <v>6</v>
      </c>
      <c r="B25" s="54"/>
      <c r="C25" s="55" t="str">
        <f t="shared" ca="1" si="0"/>
        <v/>
      </c>
      <c r="D25" s="55" t="str">
        <f t="shared" ca="1" si="0"/>
        <v/>
      </c>
      <c r="E25" s="55" t="str">
        <f t="shared" ca="1" si="0"/>
        <v/>
      </c>
      <c r="F25" s="55" t="str">
        <f t="shared" ca="1" si="0"/>
        <v/>
      </c>
      <c r="G25" s="55" t="str">
        <f t="shared" ca="1" si="0"/>
        <v/>
      </c>
      <c r="H25" s="55">
        <f t="shared" ca="1" si="0"/>
        <v>126.15977847657631</v>
      </c>
      <c r="I25" s="55">
        <f t="shared" ca="1" si="0"/>
        <v>121.36704130007335</v>
      </c>
      <c r="J25" s="55">
        <f t="shared" ca="1" si="0"/>
        <v>116.7563774429786</v>
      </c>
      <c r="K25" s="55">
        <f t="shared" ca="1" si="0"/>
        <v>112.32087004496371</v>
      </c>
      <c r="L25" s="55">
        <f t="shared" ca="1" si="0"/>
        <v>108.05386501323244</v>
      </c>
      <c r="M25" s="55">
        <f t="shared" ca="1" si="0"/>
        <v>103.94896104013374</v>
      </c>
      <c r="N25" s="55">
        <f t="shared" ca="1" si="0"/>
        <v>99.999999999999972</v>
      </c>
      <c r="O25" s="55">
        <f t="shared" ca="1" si="0"/>
        <v>96.201057710803738</v>
      </c>
      <c r="P25" s="55">
        <f t="shared" ca="1" si="0"/>
        <v>92.546435046773937</v>
      </c>
      <c r="Q25" s="55">
        <f t="shared" ca="1" si="0"/>
        <v>89.030649388638508</v>
      </c>
    </row>
    <row r="26" spans="1:17" x14ac:dyDescent="0.2">
      <c r="A26" s="49">
        <v>5</v>
      </c>
      <c r="C26" s="55" t="str">
        <f t="shared" ca="1" si="0"/>
        <v/>
      </c>
      <c r="D26" s="55" t="str">
        <f t="shared" ca="1" si="0"/>
        <v/>
      </c>
      <c r="E26" s="55" t="str">
        <f t="shared" ca="1" si="0"/>
        <v/>
      </c>
      <c r="F26" s="55" t="str">
        <f t="shared" ca="1" si="0"/>
        <v/>
      </c>
      <c r="G26" s="55">
        <f t="shared" ca="1" si="0"/>
        <v>121.36704130007337</v>
      </c>
      <c r="H26" s="55">
        <f t="shared" ca="1" si="0"/>
        <v>116.75637744297862</v>
      </c>
      <c r="I26" s="55">
        <f t="shared" ca="1" si="0"/>
        <v>112.32087004496373</v>
      </c>
      <c r="J26" s="55">
        <f t="shared" ca="1" si="0"/>
        <v>108.05386501323245</v>
      </c>
      <c r="K26" s="55">
        <f t="shared" ca="1" si="0"/>
        <v>103.94896104013375</v>
      </c>
      <c r="L26" s="55">
        <f t="shared" ca="1" si="0"/>
        <v>99.999999999999986</v>
      </c>
      <c r="M26" s="55">
        <f t="shared" ca="1" si="0"/>
        <v>96.201057710803752</v>
      </c>
      <c r="N26" s="55">
        <f t="shared" ca="1" si="0"/>
        <v>92.546435046773951</v>
      </c>
      <c r="O26" s="55">
        <f t="shared" ca="1" si="0"/>
        <v>89.030649388638523</v>
      </c>
      <c r="P26" s="55">
        <f t="shared" ca="1" si="0"/>
        <v>85.648426398667496</v>
      </c>
      <c r="Q26" s="55">
        <f t="shared" ca="1" si="0"/>
        <v>82.394692108177395</v>
      </c>
    </row>
    <row r="27" spans="1:17" x14ac:dyDescent="0.2">
      <c r="A27" s="49">
        <v>4</v>
      </c>
      <c r="C27" s="55" t="str">
        <f t="shared" ca="1" si="0"/>
        <v/>
      </c>
      <c r="D27" s="55" t="str">
        <f t="shared" ca="1" si="0"/>
        <v/>
      </c>
      <c r="E27" s="55" t="str">
        <f t="shared" ca="1" si="0"/>
        <v/>
      </c>
      <c r="F27" s="55">
        <f t="shared" ca="1" si="0"/>
        <v>116.75637744297862</v>
      </c>
      <c r="G27" s="55">
        <f t="shared" ca="1" si="0"/>
        <v>112.32087004496373</v>
      </c>
      <c r="H27" s="55">
        <f t="shared" ca="1" si="0"/>
        <v>108.05386501323245</v>
      </c>
      <c r="I27" s="55">
        <f t="shared" ca="1" si="0"/>
        <v>103.94896104013375</v>
      </c>
      <c r="J27" s="55">
        <f t="shared" ca="1" si="0"/>
        <v>99.999999999999986</v>
      </c>
      <c r="K27" s="55">
        <f t="shared" ca="1" si="0"/>
        <v>96.201057710803752</v>
      </c>
      <c r="L27" s="55">
        <f t="shared" ca="1" si="0"/>
        <v>92.546435046773951</v>
      </c>
      <c r="M27" s="55">
        <f t="shared" ca="1" si="0"/>
        <v>89.030649388638523</v>
      </c>
      <c r="N27" s="55">
        <f t="shared" ca="1" si="0"/>
        <v>85.648426398667496</v>
      </c>
      <c r="O27" s="55">
        <f t="shared" ca="1" si="0"/>
        <v>82.394692108177395</v>
      </c>
      <c r="P27" s="55">
        <f t="shared" ca="1" si="0"/>
        <v>79.264565305626803</v>
      </c>
      <c r="Q27" s="55">
        <f t="shared" ca="1" si="0"/>
        <v>76.253350213883778</v>
      </c>
    </row>
    <row r="28" spans="1:17" x14ac:dyDescent="0.2">
      <c r="A28" s="49">
        <v>3</v>
      </c>
      <c r="C28" s="55" t="str">
        <f t="shared" ca="1" si="0"/>
        <v/>
      </c>
      <c r="D28" s="55" t="str">
        <f t="shared" ca="1" si="0"/>
        <v/>
      </c>
      <c r="E28" s="55">
        <f t="shared" ca="1" si="0"/>
        <v>112.32087004496373</v>
      </c>
      <c r="F28" s="55">
        <f t="shared" ca="1" si="0"/>
        <v>108.05386501323245</v>
      </c>
      <c r="G28" s="55">
        <f t="shared" ca="1" si="0"/>
        <v>103.94896104013375</v>
      </c>
      <c r="H28" s="55">
        <f t="shared" ca="1" si="0"/>
        <v>99.999999999999986</v>
      </c>
      <c r="I28" s="55">
        <f t="shared" ca="1" si="0"/>
        <v>96.201057710803752</v>
      </c>
      <c r="J28" s="55">
        <f t="shared" ca="1" si="0"/>
        <v>92.546435046773951</v>
      </c>
      <c r="K28" s="55">
        <f t="shared" ca="1" si="0"/>
        <v>89.030649388638523</v>
      </c>
      <c r="L28" s="55">
        <f t="shared" ca="1" si="0"/>
        <v>85.648426398667496</v>
      </c>
      <c r="M28" s="55">
        <f t="shared" ca="1" si="0"/>
        <v>82.394692108177395</v>
      </c>
      <c r="N28" s="55">
        <f t="shared" ca="1" si="0"/>
        <v>79.264565305626803</v>
      </c>
      <c r="O28" s="55">
        <f t="shared" ca="1" si="0"/>
        <v>76.253350213883778</v>
      </c>
      <c r="P28" s="55">
        <f t="shared" ca="1" si="0"/>
        <v>73.356529445679641</v>
      </c>
      <c r="Q28" s="55">
        <f t="shared" ca="1" si="0"/>
        <v>70.56975722668102</v>
      </c>
    </row>
    <row r="29" spans="1:17" x14ac:dyDescent="0.2">
      <c r="A29" s="49">
        <v>2</v>
      </c>
      <c r="C29" s="55" t="str">
        <f t="shared" ca="1" si="0"/>
        <v/>
      </c>
      <c r="D29" s="55">
        <f t="shared" ca="1" si="0"/>
        <v>108.05386501323245</v>
      </c>
      <c r="E29" s="55">
        <f t="shared" ca="1" si="0"/>
        <v>103.94896104013375</v>
      </c>
      <c r="F29" s="55">
        <f t="shared" ca="1" si="0"/>
        <v>99.999999999999986</v>
      </c>
      <c r="G29" s="55">
        <f t="shared" ca="1" si="0"/>
        <v>96.201057710803752</v>
      </c>
      <c r="H29" s="55">
        <f t="shared" ca="1" si="0"/>
        <v>92.546435046773951</v>
      </c>
      <c r="I29" s="55">
        <f t="shared" ca="1" si="0"/>
        <v>89.030649388638523</v>
      </c>
      <c r="J29" s="55">
        <f t="shared" ca="1" si="0"/>
        <v>85.648426398667496</v>
      </c>
      <c r="K29" s="55">
        <f t="shared" ca="1" si="0"/>
        <v>82.394692108177395</v>
      </c>
      <c r="L29" s="55">
        <f t="shared" ca="1" si="0"/>
        <v>79.264565305626803</v>
      </c>
      <c r="M29" s="55">
        <f t="shared" ca="1" si="0"/>
        <v>76.253350213883778</v>
      </c>
      <c r="N29" s="55">
        <f t="shared" ca="1" si="0"/>
        <v>73.356529445679641</v>
      </c>
      <c r="O29" s="55">
        <f t="shared" ca="1" si="0"/>
        <v>70.56975722668102</v>
      </c>
      <c r="P29" s="55">
        <f t="shared" ca="1" si="0"/>
        <v>67.888852876013516</v>
      </c>
      <c r="Q29" s="55">
        <f t="shared" ca="1" si="0"/>
        <v>65.309794534456415</v>
      </c>
    </row>
    <row r="30" spans="1:17" x14ac:dyDescent="0.2">
      <c r="A30" s="49">
        <v>1</v>
      </c>
      <c r="C30" s="55">
        <f t="shared" ca="1" si="0"/>
        <v>103.94896104013375</v>
      </c>
      <c r="D30" s="55">
        <f t="shared" ca="1" si="0"/>
        <v>99.999999999999986</v>
      </c>
      <c r="E30" s="55">
        <f t="shared" ca="1" si="0"/>
        <v>96.201057710803752</v>
      </c>
      <c r="F30" s="55">
        <f t="shared" ca="1" si="0"/>
        <v>92.546435046773951</v>
      </c>
      <c r="G30" s="55">
        <f t="shared" ca="1" si="0"/>
        <v>89.030649388638523</v>
      </c>
      <c r="H30" s="55">
        <f t="shared" ca="1" si="0"/>
        <v>85.648426398667496</v>
      </c>
      <c r="I30" s="55">
        <f t="shared" ca="1" si="0"/>
        <v>82.394692108177395</v>
      </c>
      <c r="J30" s="55">
        <f t="shared" ca="1" si="0"/>
        <v>79.264565305626803</v>
      </c>
      <c r="K30" s="55">
        <f t="shared" ca="1" si="0"/>
        <v>76.253350213883778</v>
      </c>
      <c r="L30" s="55">
        <f t="shared" ca="1" si="0"/>
        <v>73.356529445679641</v>
      </c>
      <c r="M30" s="55">
        <f t="shared" ca="1" si="0"/>
        <v>70.56975722668102</v>
      </c>
      <c r="N30" s="55">
        <f t="shared" ca="1" si="0"/>
        <v>67.888852876013516</v>
      </c>
      <c r="O30" s="55">
        <f t="shared" ca="1" si="0"/>
        <v>65.309794534456415</v>
      </c>
      <c r="P30" s="55">
        <f t="shared" ca="1" si="0"/>
        <v>62.828713130899779</v>
      </c>
      <c r="Q30" s="55">
        <f t="shared" ca="1" si="0"/>
        <v>60.441886578012237</v>
      </c>
    </row>
    <row r="31" spans="1:17" x14ac:dyDescent="0.2">
      <c r="A31" s="49">
        <v>0</v>
      </c>
      <c r="B31" s="55">
        <f>$B$2</f>
        <v>100</v>
      </c>
      <c r="C31" s="55">
        <f t="shared" ca="1" si="0"/>
        <v>96.201057710803767</v>
      </c>
      <c r="D31" s="55">
        <f t="shared" ca="1" si="0"/>
        <v>92.546435046773965</v>
      </c>
      <c r="E31" s="55">
        <f t="shared" ca="1" si="0"/>
        <v>89.030649388638537</v>
      </c>
      <c r="F31" s="55">
        <f t="shared" ca="1" si="0"/>
        <v>85.64842639866751</v>
      </c>
      <c r="G31" s="55">
        <f t="shared" ca="1" si="0"/>
        <v>82.394692108177409</v>
      </c>
      <c r="H31" s="55">
        <f t="shared" ca="1" si="0"/>
        <v>79.264565305626817</v>
      </c>
      <c r="I31" s="55">
        <f t="shared" ca="1" si="0"/>
        <v>76.253350213883792</v>
      </c>
      <c r="J31" s="55">
        <f t="shared" ca="1" si="0"/>
        <v>73.356529445679655</v>
      </c>
      <c r="K31" s="55">
        <f t="shared" ca="1" si="0"/>
        <v>70.569757226681034</v>
      </c>
      <c r="L31" s="55">
        <f t="shared" ca="1" si="0"/>
        <v>67.88885287601353</v>
      </c>
      <c r="M31" s="55">
        <f t="shared" ca="1" si="0"/>
        <v>65.309794534456429</v>
      </c>
      <c r="N31" s="55">
        <f t="shared" ca="1" si="0"/>
        <v>62.828713130899793</v>
      </c>
      <c r="O31" s="55">
        <f t="shared" ca="1" si="0"/>
        <v>60.441886578012252</v>
      </c>
      <c r="P31" s="55">
        <f t="shared" ca="1" si="0"/>
        <v>58.145734188412121</v>
      </c>
      <c r="Q31" s="55">
        <f t="shared" ca="1" si="0"/>
        <v>55.936811302964898</v>
      </c>
    </row>
    <row r="32" spans="1:17" x14ac:dyDescent="0.2">
      <c r="B32" s="57"/>
      <c r="C32" s="57"/>
      <c r="D32" s="56"/>
      <c r="E32" s="56"/>
      <c r="F32" s="56"/>
      <c r="G32" s="56"/>
      <c r="H32" s="56"/>
      <c r="I32" s="56"/>
      <c r="J32" s="56"/>
      <c r="K32" s="56"/>
    </row>
    <row r="34" spans="1:17" x14ac:dyDescent="0.2">
      <c r="A34" s="58" t="s">
        <v>34</v>
      </c>
    </row>
    <row r="35" spans="1:17" x14ac:dyDescent="0.2">
      <c r="B35" s="54">
        <v>0</v>
      </c>
      <c r="C35" s="54">
        <v>1</v>
      </c>
      <c r="D35" s="54">
        <v>2</v>
      </c>
      <c r="E35" s="54">
        <v>3</v>
      </c>
      <c r="F35" s="54">
        <v>4</v>
      </c>
      <c r="G35" s="54">
        <v>5</v>
      </c>
      <c r="H35" s="54">
        <v>6</v>
      </c>
      <c r="I35" s="54">
        <v>7</v>
      </c>
      <c r="J35" s="54">
        <v>8</v>
      </c>
      <c r="K35" s="54">
        <v>9</v>
      </c>
      <c r="L35" s="49">
        <v>10</v>
      </c>
      <c r="M35" s="49">
        <v>11</v>
      </c>
      <c r="N35" s="49">
        <v>12</v>
      </c>
      <c r="O35" s="49">
        <v>13</v>
      </c>
      <c r="P35" s="49">
        <v>14</v>
      </c>
      <c r="Q35" s="49">
        <v>15</v>
      </c>
    </row>
    <row r="36" spans="1:17" x14ac:dyDescent="0.2">
      <c r="A36" s="49">
        <v>15</v>
      </c>
      <c r="B36" s="59" t="str">
        <f t="shared" ref="B36:P36" si="1">IF($A36 &lt;= B$35, ($B$10*C35+$B$11*C36)/EXP($B$6 * $B$3/$B$5),"")</f>
        <v/>
      </c>
      <c r="C36" s="59" t="str">
        <f t="shared" si="1"/>
        <v/>
      </c>
      <c r="D36" s="59" t="str">
        <f t="shared" si="1"/>
        <v/>
      </c>
      <c r="E36" s="59" t="str">
        <f t="shared" si="1"/>
        <v/>
      </c>
      <c r="F36" s="59" t="str">
        <f t="shared" si="1"/>
        <v/>
      </c>
      <c r="G36" s="59" t="str">
        <f t="shared" si="1"/>
        <v/>
      </c>
      <c r="H36" s="59" t="str">
        <f t="shared" si="1"/>
        <v/>
      </c>
      <c r="I36" s="59" t="str">
        <f t="shared" si="1"/>
        <v/>
      </c>
      <c r="J36" s="59" t="str">
        <f t="shared" si="1"/>
        <v/>
      </c>
      <c r="K36" s="59" t="str">
        <f t="shared" si="1"/>
        <v/>
      </c>
      <c r="L36" s="59" t="str">
        <f t="shared" si="1"/>
        <v/>
      </c>
      <c r="M36" s="59" t="str">
        <f t="shared" si="1"/>
        <v/>
      </c>
      <c r="N36" s="59" t="str">
        <f t="shared" si="1"/>
        <v/>
      </c>
      <c r="O36" s="59" t="str">
        <f t="shared" si="1"/>
        <v/>
      </c>
      <c r="P36" s="59" t="str">
        <f t="shared" si="1"/>
        <v/>
      </c>
      <c r="Q36" s="56">
        <f t="shared" ref="Q36:Q39" ca="1" si="2">MAX($G$2*(Q16-$G$3),0)</f>
        <v>0</v>
      </c>
    </row>
    <row r="37" spans="1:17" x14ac:dyDescent="0.2">
      <c r="A37" s="49">
        <v>14</v>
      </c>
      <c r="B37" s="59" t="str">
        <f t="shared" ref="B37:P37" si="3">IF($A37 &lt;= B$35, MAX(MAX(($G$3-B17),0), ($B$10*C36+$B$11*C37)/EXP($B$6 * $B$3/$B$5)),"")</f>
        <v/>
      </c>
      <c r="C37" s="59" t="str">
        <f t="shared" si="3"/>
        <v/>
      </c>
      <c r="D37" s="59" t="str">
        <f t="shared" si="3"/>
        <v/>
      </c>
      <c r="E37" s="59" t="str">
        <f t="shared" si="3"/>
        <v/>
      </c>
      <c r="F37" s="59" t="str">
        <f t="shared" si="3"/>
        <v/>
      </c>
      <c r="G37" s="59" t="str">
        <f t="shared" si="3"/>
        <v/>
      </c>
      <c r="H37" s="59" t="str">
        <f t="shared" si="3"/>
        <v/>
      </c>
      <c r="I37" s="59" t="str">
        <f t="shared" si="3"/>
        <v/>
      </c>
      <c r="J37" s="59" t="str">
        <f t="shared" si="3"/>
        <v/>
      </c>
      <c r="K37" s="59" t="str">
        <f t="shared" si="3"/>
        <v/>
      </c>
      <c r="L37" s="59" t="str">
        <f t="shared" si="3"/>
        <v/>
      </c>
      <c r="M37" s="59" t="str">
        <f t="shared" si="3"/>
        <v/>
      </c>
      <c r="N37" s="59" t="str">
        <f t="shared" si="3"/>
        <v/>
      </c>
      <c r="O37" s="59" t="str">
        <f t="shared" si="3"/>
        <v/>
      </c>
      <c r="P37" s="59">
        <f t="shared" ca="1" si="3"/>
        <v>0</v>
      </c>
      <c r="Q37" s="56">
        <f t="shared" ca="1" si="2"/>
        <v>0</v>
      </c>
    </row>
    <row r="38" spans="1:17" x14ac:dyDescent="0.2">
      <c r="A38" s="49">
        <v>13</v>
      </c>
      <c r="B38" s="59" t="str">
        <f t="shared" ref="B38:P38" si="4">IF($A38 &lt;= B$35, MAX(MAX(($G$3-B18),0), ($B$10*C37+$B$11*C38)/EXP($B$6 * $B$3/$B$5)),"")</f>
        <v/>
      </c>
      <c r="C38" s="59" t="str">
        <f t="shared" si="4"/>
        <v/>
      </c>
      <c r="D38" s="59" t="str">
        <f t="shared" si="4"/>
        <v/>
      </c>
      <c r="E38" s="59" t="str">
        <f t="shared" si="4"/>
        <v/>
      </c>
      <c r="F38" s="59" t="str">
        <f t="shared" si="4"/>
        <v/>
      </c>
      <c r="G38" s="59" t="str">
        <f t="shared" si="4"/>
        <v/>
      </c>
      <c r="H38" s="59" t="str">
        <f t="shared" si="4"/>
        <v/>
      </c>
      <c r="I38" s="59" t="str">
        <f t="shared" si="4"/>
        <v/>
      </c>
      <c r="J38" s="59" t="str">
        <f t="shared" si="4"/>
        <v/>
      </c>
      <c r="K38" s="59" t="str">
        <f t="shared" si="4"/>
        <v/>
      </c>
      <c r="L38" s="59" t="str">
        <f t="shared" si="4"/>
        <v/>
      </c>
      <c r="M38" s="59" t="str">
        <f t="shared" si="4"/>
        <v/>
      </c>
      <c r="N38" s="59" t="str">
        <f t="shared" si="4"/>
        <v/>
      </c>
      <c r="O38" s="59">
        <f t="shared" ca="1" si="4"/>
        <v>0</v>
      </c>
      <c r="P38" s="59">
        <f t="shared" ca="1" si="4"/>
        <v>0</v>
      </c>
      <c r="Q38" s="56">
        <f t="shared" ca="1" si="2"/>
        <v>0</v>
      </c>
    </row>
    <row r="39" spans="1:17" x14ac:dyDescent="0.2">
      <c r="A39" s="49">
        <v>12</v>
      </c>
      <c r="B39" s="59" t="str">
        <f t="shared" ref="B39:P39" si="5">IF($A39 &lt;= B$35, MAX(MAX(($G$3-B19),0), ($B$10*C38+$B$11*C39)/EXP($B$6 * $B$3/$B$5)),"")</f>
        <v/>
      </c>
      <c r="C39" s="59" t="str">
        <f t="shared" si="5"/>
        <v/>
      </c>
      <c r="D39" s="59" t="str">
        <f t="shared" si="5"/>
        <v/>
      </c>
      <c r="E39" s="59" t="str">
        <f t="shared" si="5"/>
        <v/>
      </c>
      <c r="F39" s="59" t="str">
        <f t="shared" si="5"/>
        <v/>
      </c>
      <c r="G39" s="59" t="str">
        <f t="shared" si="5"/>
        <v/>
      </c>
      <c r="H39" s="59" t="str">
        <f t="shared" si="5"/>
        <v/>
      </c>
      <c r="I39" s="59" t="str">
        <f t="shared" si="5"/>
        <v/>
      </c>
      <c r="J39" s="59" t="str">
        <f t="shared" si="5"/>
        <v/>
      </c>
      <c r="K39" s="59" t="str">
        <f t="shared" si="5"/>
        <v/>
      </c>
      <c r="L39" s="59" t="str">
        <f t="shared" si="5"/>
        <v/>
      </c>
      <c r="M39" s="59" t="str">
        <f t="shared" si="5"/>
        <v/>
      </c>
      <c r="N39" s="59">
        <f t="shared" ca="1" si="5"/>
        <v>0</v>
      </c>
      <c r="O39" s="59">
        <f t="shared" ca="1" si="5"/>
        <v>0</v>
      </c>
      <c r="P39" s="59">
        <f t="shared" ca="1" si="5"/>
        <v>0</v>
      </c>
      <c r="Q39" s="56">
        <f t="shared" ca="1" si="2"/>
        <v>0</v>
      </c>
    </row>
    <row r="40" spans="1:17" x14ac:dyDescent="0.2">
      <c r="A40" s="49">
        <v>11</v>
      </c>
      <c r="B40" s="59" t="str">
        <f t="shared" ref="B40:P40" si="6">IF($A40 &lt;= B$35, MAX(MAX(($G$3-B20),0), ($B$10*C39+$B$11*C40)/EXP($B$6 * $B$3/$B$5)),"")</f>
        <v/>
      </c>
      <c r="C40" s="59" t="str">
        <f t="shared" si="6"/>
        <v/>
      </c>
      <c r="D40" s="59" t="str">
        <f t="shared" si="6"/>
        <v/>
      </c>
      <c r="E40" s="59" t="str">
        <f t="shared" si="6"/>
        <v/>
      </c>
      <c r="F40" s="59" t="str">
        <f t="shared" si="6"/>
        <v/>
      </c>
      <c r="G40" s="59" t="str">
        <f t="shared" si="6"/>
        <v/>
      </c>
      <c r="H40" s="59" t="str">
        <f t="shared" si="6"/>
        <v/>
      </c>
      <c r="I40" s="59" t="str">
        <f t="shared" si="6"/>
        <v/>
      </c>
      <c r="J40" s="59" t="str">
        <f t="shared" si="6"/>
        <v/>
      </c>
      <c r="K40" s="59" t="str">
        <f t="shared" si="6"/>
        <v/>
      </c>
      <c r="L40" s="59" t="str">
        <f t="shared" si="6"/>
        <v/>
      </c>
      <c r="M40" s="59">
        <f t="shared" ca="1" si="6"/>
        <v>0</v>
      </c>
      <c r="N40" s="59">
        <f t="shared" ca="1" si="6"/>
        <v>0</v>
      </c>
      <c r="O40" s="59">
        <f t="shared" ca="1" si="6"/>
        <v>0</v>
      </c>
      <c r="P40" s="59">
        <f t="shared" ca="1" si="6"/>
        <v>0</v>
      </c>
      <c r="Q40" s="56">
        <f ca="1">MAX($G$2*(Q20-$G$3),0)</f>
        <v>0</v>
      </c>
    </row>
    <row r="41" spans="1:17" x14ac:dyDescent="0.2">
      <c r="A41" s="49">
        <v>10</v>
      </c>
      <c r="B41" s="59" t="str">
        <f t="shared" ref="B41:P41" si="7">IF($A41 &lt;= B$35, MAX(MAX(($G$3-B21),0), ($B$10*C40+$B$11*C41)/EXP($B$6 * $B$3/$B$5)),"")</f>
        <v/>
      </c>
      <c r="C41" s="59" t="str">
        <f t="shared" si="7"/>
        <v/>
      </c>
      <c r="D41" s="59" t="str">
        <f t="shared" si="7"/>
        <v/>
      </c>
      <c r="E41" s="59" t="str">
        <f t="shared" si="7"/>
        <v/>
      </c>
      <c r="F41" s="59" t="str">
        <f t="shared" si="7"/>
        <v/>
      </c>
      <c r="G41" s="59" t="str">
        <f t="shared" si="7"/>
        <v/>
      </c>
      <c r="H41" s="59" t="str">
        <f t="shared" si="7"/>
        <v/>
      </c>
      <c r="I41" s="59" t="str">
        <f t="shared" si="7"/>
        <v/>
      </c>
      <c r="J41" s="59" t="str">
        <f t="shared" si="7"/>
        <v/>
      </c>
      <c r="K41" s="59" t="str">
        <f t="shared" si="7"/>
        <v/>
      </c>
      <c r="L41" s="59">
        <f t="shared" ca="1" si="7"/>
        <v>0</v>
      </c>
      <c r="M41" s="59">
        <f t="shared" ca="1" si="7"/>
        <v>0</v>
      </c>
      <c r="N41" s="59">
        <f t="shared" ca="1" si="7"/>
        <v>0</v>
      </c>
      <c r="O41" s="59">
        <f t="shared" ca="1" si="7"/>
        <v>0</v>
      </c>
      <c r="P41" s="59">
        <f t="shared" ca="1" si="7"/>
        <v>0</v>
      </c>
      <c r="Q41" s="56">
        <f t="shared" ref="Q41:Q50" ca="1" si="8">MAX($G$2*(Q21-$G$3),0)</f>
        <v>0</v>
      </c>
    </row>
    <row r="42" spans="1:17" x14ac:dyDescent="0.2">
      <c r="A42" s="49">
        <v>9</v>
      </c>
      <c r="B42" s="59" t="str">
        <f t="shared" ref="B42:P42" si="9">IF($A42 &lt;= B$35, MAX(MAX(($G$3-B22),0), ($B$10*C41+$B$11*C42)/EXP($B$6 * $B$3/$B$5)),"")</f>
        <v/>
      </c>
      <c r="C42" s="59" t="str">
        <f t="shared" si="9"/>
        <v/>
      </c>
      <c r="D42" s="59" t="str">
        <f t="shared" si="9"/>
        <v/>
      </c>
      <c r="E42" s="59" t="str">
        <f t="shared" si="9"/>
        <v/>
      </c>
      <c r="F42" s="59" t="str">
        <f t="shared" si="9"/>
        <v/>
      </c>
      <c r="G42" s="59" t="str">
        <f t="shared" si="9"/>
        <v/>
      </c>
      <c r="H42" s="59" t="str">
        <f t="shared" si="9"/>
        <v/>
      </c>
      <c r="I42" s="59" t="str">
        <f t="shared" si="9"/>
        <v/>
      </c>
      <c r="J42" s="59" t="str">
        <f t="shared" si="9"/>
        <v/>
      </c>
      <c r="K42" s="59">
        <f t="shared" ca="1" si="9"/>
        <v>0</v>
      </c>
      <c r="L42" s="59">
        <f t="shared" ca="1" si="9"/>
        <v>0</v>
      </c>
      <c r="M42" s="59">
        <f t="shared" ca="1" si="9"/>
        <v>0</v>
      </c>
      <c r="N42" s="59">
        <f t="shared" ca="1" si="9"/>
        <v>0</v>
      </c>
      <c r="O42" s="59">
        <f t="shared" ca="1" si="9"/>
        <v>0</v>
      </c>
      <c r="P42" s="59">
        <f t="shared" ca="1" si="9"/>
        <v>0</v>
      </c>
      <c r="Q42" s="56">
        <f t="shared" ca="1" si="8"/>
        <v>0</v>
      </c>
    </row>
    <row r="43" spans="1:17" x14ac:dyDescent="0.2">
      <c r="A43" s="49">
        <v>8</v>
      </c>
      <c r="B43" s="59" t="str">
        <f t="shared" ref="B43:P43" si="10">IF($A43 &lt;= B$35, MAX(MAX(($G$3-B23),0), ($B$10*C42+$B$11*C43)/EXP($B$6 * $B$3/$B$5)),"")</f>
        <v/>
      </c>
      <c r="C43" s="59" t="str">
        <f t="shared" si="10"/>
        <v/>
      </c>
      <c r="D43" s="59" t="str">
        <f t="shared" si="10"/>
        <v/>
      </c>
      <c r="E43" s="59" t="str">
        <f t="shared" si="10"/>
        <v/>
      </c>
      <c r="F43" s="59" t="str">
        <f t="shared" si="10"/>
        <v/>
      </c>
      <c r="G43" s="59" t="str">
        <f t="shared" si="10"/>
        <v/>
      </c>
      <c r="H43" s="59" t="str">
        <f t="shared" si="10"/>
        <v/>
      </c>
      <c r="I43" s="59" t="str">
        <f t="shared" si="10"/>
        <v/>
      </c>
      <c r="J43" s="59">
        <f t="shared" ca="1" si="10"/>
        <v>5.2365869727484728E-2</v>
      </c>
      <c r="K43" s="59">
        <f t="shared" ca="1" si="10"/>
        <v>0.10321228922823039</v>
      </c>
      <c r="L43" s="59">
        <f t="shared" ca="1" si="10"/>
        <v>0.20342976643316729</v>
      </c>
      <c r="M43" s="59">
        <f t="shared" ca="1" si="10"/>
        <v>0.40095680640841586</v>
      </c>
      <c r="N43" s="59">
        <f t="shared" ca="1" si="10"/>
        <v>0.79027943365432896</v>
      </c>
      <c r="O43" s="59">
        <f t="shared" ca="1" si="10"/>
        <v>1.5576280868040606</v>
      </c>
      <c r="P43" s="59">
        <f t="shared" ca="1" si="10"/>
        <v>3.070059973067842</v>
      </c>
      <c r="Q43" s="56">
        <f t="shared" ca="1" si="8"/>
        <v>6.0510389598662613</v>
      </c>
    </row>
    <row r="44" spans="1:17" x14ac:dyDescent="0.2">
      <c r="A44" s="49">
        <v>7</v>
      </c>
      <c r="B44" s="59" t="str">
        <f t="shared" ref="B44:P44" si="11">IF($A44 &lt;= B$35, MAX(MAX(($G$3-B24),0), ($B$10*C43+$B$11*C44)/EXP($B$6 * $B$3/$B$5)),"")</f>
        <v/>
      </c>
      <c r="C44" s="59" t="str">
        <f t="shared" si="11"/>
        <v/>
      </c>
      <c r="D44" s="59" t="str">
        <f t="shared" si="11"/>
        <v/>
      </c>
      <c r="E44" s="59" t="str">
        <f t="shared" si="11"/>
        <v/>
      </c>
      <c r="F44" s="59" t="str">
        <f t="shared" si="11"/>
        <v/>
      </c>
      <c r="G44" s="59" t="str">
        <f t="shared" si="11"/>
        <v/>
      </c>
      <c r="H44" s="59" t="str">
        <f t="shared" si="11"/>
        <v/>
      </c>
      <c r="I44" s="59">
        <f t="shared" ca="1" si="11"/>
        <v>0.26700048928946152</v>
      </c>
      <c r="J44" s="59">
        <f t="shared" ca="1" si="11"/>
        <v>0.47544166027796825</v>
      </c>
      <c r="K44" s="59">
        <f t="shared" ca="1" si="11"/>
        <v>0.83693820723118573</v>
      </c>
      <c r="L44" s="59">
        <f t="shared" ca="1" si="11"/>
        <v>1.4521983710879898</v>
      </c>
      <c r="M44" s="59">
        <f t="shared" ca="1" si="11"/>
        <v>2.4732004499294735</v>
      </c>
      <c r="N44" s="59">
        <f t="shared" ca="1" si="11"/>
        <v>4.1078088837138695</v>
      </c>
      <c r="O44" s="59">
        <f t="shared" ca="1" si="11"/>
        <v>6.5850167126661105</v>
      </c>
      <c r="P44" s="59">
        <f t="shared" ca="1" si="11"/>
        <v>10.000000000000028</v>
      </c>
      <c r="Q44" s="56">
        <f t="shared" ca="1" si="8"/>
        <v>13.798942289196262</v>
      </c>
    </row>
    <row r="45" spans="1:17" x14ac:dyDescent="0.2">
      <c r="A45" s="49">
        <v>6</v>
      </c>
      <c r="B45" s="59" t="str">
        <f t="shared" ref="B45:P45" si="12">IF($A45 &lt;= B$35, MAX(MAX(($G$3-B25),0), ($B$10*C44+$B$11*C45)/EXP($B$6 * $B$3/$B$5)),"")</f>
        <v/>
      </c>
      <c r="C45" s="59" t="str">
        <f t="shared" si="12"/>
        <v/>
      </c>
      <c r="D45" s="59" t="str">
        <f t="shared" si="12"/>
        <v/>
      </c>
      <c r="E45" s="59" t="str">
        <f t="shared" si="12"/>
        <v/>
      </c>
      <c r="F45" s="59" t="str">
        <f t="shared" si="12"/>
        <v/>
      </c>
      <c r="G45" s="59" t="str">
        <f t="shared" si="12"/>
        <v/>
      </c>
      <c r="H45" s="59">
        <f t="shared" ca="1" si="12"/>
        <v>0.77301304038161855</v>
      </c>
      <c r="I45" s="59">
        <f t="shared" ca="1" si="12"/>
        <v>1.2645184991695073</v>
      </c>
      <c r="J45" s="59">
        <f t="shared" ca="1" si="12"/>
        <v>2.0310117626694293</v>
      </c>
      <c r="K45" s="59">
        <f t="shared" ca="1" si="12"/>
        <v>3.1909878030743224</v>
      </c>
      <c r="L45" s="59">
        <f t="shared" ca="1" si="12"/>
        <v>4.8802783770561673</v>
      </c>
      <c r="M45" s="59">
        <f t="shared" ca="1" si="12"/>
        <v>7.2191370408760855</v>
      </c>
      <c r="N45" s="59">
        <f t="shared" ca="1" si="12"/>
        <v>10.242885131164877</v>
      </c>
      <c r="O45" s="59">
        <f t="shared" ca="1" si="12"/>
        <v>13.798942289196262</v>
      </c>
      <c r="P45" s="59">
        <f t="shared" ca="1" si="12"/>
        <v>17.453564953226063</v>
      </c>
      <c r="Q45" s="56">
        <f t="shared" ca="1" si="8"/>
        <v>20.969350611361492</v>
      </c>
    </row>
    <row r="46" spans="1:17" x14ac:dyDescent="0.2">
      <c r="A46" s="49">
        <v>5</v>
      </c>
      <c r="B46" s="59" t="str">
        <f t="shared" ref="B46:P46" si="13">IF($A46 &lt;= B$35, MAX(MAX(($G$3-B26),0), ($B$10*C45+$B$11*C46)/EXP($B$6 * $B$3/$B$5)),"")</f>
        <v/>
      </c>
      <c r="C46" s="59" t="str">
        <f t="shared" si="13"/>
        <v/>
      </c>
      <c r="D46" s="59" t="str">
        <f t="shared" si="13"/>
        <v/>
      </c>
      <c r="E46" s="59" t="str">
        <f t="shared" si="13"/>
        <v/>
      </c>
      <c r="F46" s="59" t="str">
        <f t="shared" si="13"/>
        <v/>
      </c>
      <c r="G46" s="59">
        <f t="shared" ca="1" si="13"/>
        <v>1.6746985095614064</v>
      </c>
      <c r="H46" s="59">
        <f t="shared" ca="1" si="13"/>
        <v>2.5507284169335933</v>
      </c>
      <c r="I46" s="59">
        <f t="shared" ca="1" si="13"/>
        <v>3.8004482583419978</v>
      </c>
      <c r="J46" s="59">
        <f t="shared" ca="1" si="13"/>
        <v>5.5198768534822813</v>
      </c>
      <c r="K46" s="59">
        <f t="shared" ca="1" si="13"/>
        <v>7.7832868761062874</v>
      </c>
      <c r="L46" s="59">
        <f t="shared" ca="1" si="13"/>
        <v>10.60526734379008</v>
      </c>
      <c r="M46" s="59">
        <f t="shared" ca="1" si="13"/>
        <v>13.897887694796179</v>
      </c>
      <c r="N46" s="59">
        <f t="shared" ca="1" si="13"/>
        <v>17.453564953226049</v>
      </c>
      <c r="O46" s="59">
        <f t="shared" ca="1" si="13"/>
        <v>20.969350611361477</v>
      </c>
      <c r="P46" s="59">
        <f t="shared" ca="1" si="13"/>
        <v>24.351573601332504</v>
      </c>
      <c r="Q46" s="56">
        <f t="shared" ca="1" si="8"/>
        <v>27.605307891822605</v>
      </c>
    </row>
    <row r="47" spans="1:17" x14ac:dyDescent="0.2">
      <c r="A47" s="49">
        <v>4</v>
      </c>
      <c r="B47" s="59" t="str">
        <f t="shared" ref="B47:P47" si="14">IF($A47 &lt;= B$35, MAX(MAX(($G$3-B27),0), ($B$10*C46+$B$11*C47)/EXP($B$6 * $B$3/$B$5)),"")</f>
        <v/>
      </c>
      <c r="C47" s="59" t="str">
        <f t="shared" si="14"/>
        <v/>
      </c>
      <c r="D47" s="59" t="str">
        <f t="shared" si="14"/>
        <v/>
      </c>
      <c r="E47" s="59" t="str">
        <f t="shared" si="14"/>
        <v/>
      </c>
      <c r="F47" s="59">
        <f t="shared" ca="1" si="14"/>
        <v>3.0257041414688728</v>
      </c>
      <c r="G47" s="59">
        <f t="shared" ca="1" si="14"/>
        <v>4.3386090230820686</v>
      </c>
      <c r="H47" s="59">
        <f t="shared" ca="1" si="14"/>
        <v>6.0762879477918945</v>
      </c>
      <c r="I47" s="59">
        <f t="shared" ca="1" si="14"/>
        <v>8.2885882374265467</v>
      </c>
      <c r="J47" s="59">
        <f t="shared" ca="1" si="14"/>
        <v>10.980588503363515</v>
      </c>
      <c r="K47" s="59">
        <f t="shared" ca="1" si="14"/>
        <v>14.090229820979296</v>
      </c>
      <c r="L47" s="59">
        <f t="shared" ca="1" si="14"/>
        <v>17.481038926598934</v>
      </c>
      <c r="M47" s="59">
        <f t="shared" ca="1" si="14"/>
        <v>20.969350611361477</v>
      </c>
      <c r="N47" s="59">
        <f t="shared" ca="1" si="14"/>
        <v>24.351573601332504</v>
      </c>
      <c r="O47" s="59">
        <f t="shared" ca="1" si="14"/>
        <v>27.605307891822605</v>
      </c>
      <c r="P47" s="59">
        <f t="shared" ca="1" si="14"/>
        <v>30.735434694373197</v>
      </c>
      <c r="Q47" s="56">
        <f t="shared" ca="1" si="8"/>
        <v>33.746649786116222</v>
      </c>
    </row>
    <row r="48" spans="1:17" x14ac:dyDescent="0.2">
      <c r="A48" s="49">
        <v>3</v>
      </c>
      <c r="B48" s="59" t="str">
        <f t="shared" ref="B48:P48" si="15">IF($A48 &lt;= B$35, MAX(MAX(($G$3-B28),0), ($B$10*C47+$B$11*C48)/EXP($B$6 * $B$3/$B$5)),"")</f>
        <v/>
      </c>
      <c r="C48" s="59" t="str">
        <f t="shared" si="15"/>
        <v/>
      </c>
      <c r="D48" s="59" t="str">
        <f t="shared" si="15"/>
        <v/>
      </c>
      <c r="E48" s="59">
        <f t="shared" ca="1" si="15"/>
        <v>4.8252906019772048</v>
      </c>
      <c r="F48" s="59">
        <f t="shared" ca="1" si="15"/>
        <v>6.5746477280036828</v>
      </c>
      <c r="G48" s="59">
        <f t="shared" ca="1" si="15"/>
        <v>8.7486554099350951</v>
      </c>
      <c r="H48" s="59">
        <f t="shared" ca="1" si="15"/>
        <v>11.347472771456999</v>
      </c>
      <c r="I48" s="59">
        <f t="shared" ca="1" si="15"/>
        <v>14.32304523687665</v>
      </c>
      <c r="J48" s="59">
        <f t="shared" ca="1" si="15"/>
        <v>17.575730094233812</v>
      </c>
      <c r="K48" s="59">
        <f t="shared" ca="1" si="15"/>
        <v>20.969350611361477</v>
      </c>
      <c r="L48" s="59">
        <f t="shared" ca="1" si="15"/>
        <v>24.351573601332504</v>
      </c>
      <c r="M48" s="59">
        <f t="shared" ca="1" si="15"/>
        <v>27.605307891822605</v>
      </c>
      <c r="N48" s="59">
        <f t="shared" ca="1" si="15"/>
        <v>30.735434694373197</v>
      </c>
      <c r="O48" s="59">
        <f t="shared" ca="1" si="15"/>
        <v>33.746649786116222</v>
      </c>
      <c r="P48" s="59">
        <f t="shared" ca="1" si="15"/>
        <v>36.643470554320359</v>
      </c>
      <c r="Q48" s="56">
        <f t="shared" ca="1" si="8"/>
        <v>39.43024277331898</v>
      </c>
    </row>
    <row r="49" spans="1:17" x14ac:dyDescent="0.2">
      <c r="A49" s="49">
        <v>2</v>
      </c>
      <c r="B49" s="59" t="str">
        <f t="shared" ref="B49:P49" si="16">IF($A49 &lt;= B$35, MAX(MAX(($G$3-B29),0), ($B$10*C48+$B$11*C49)/EXP($B$6 * $B$3/$B$5)),"")</f>
        <v/>
      </c>
      <c r="C49" s="59" t="str">
        <f t="shared" si="16"/>
        <v/>
      </c>
      <c r="D49" s="59">
        <f t="shared" ca="1" si="16"/>
        <v>7.0294978334576657</v>
      </c>
      <c r="E49" s="59">
        <f t="shared" ca="1" si="16"/>
        <v>9.1729173591984079</v>
      </c>
      <c r="F49" s="59">
        <f t="shared" ca="1" si="16"/>
        <v>11.700114280624893</v>
      </c>
      <c r="G49" s="59">
        <f t="shared" ca="1" si="16"/>
        <v>14.571680361464477</v>
      </c>
      <c r="H49" s="59">
        <f t="shared" ca="1" si="16"/>
        <v>17.709788198153923</v>
      </c>
      <c r="I49" s="59">
        <f t="shared" ca="1" si="16"/>
        <v>21.007669882517884</v>
      </c>
      <c r="J49" s="59">
        <f t="shared" ca="1" si="16"/>
        <v>24.351573601332504</v>
      </c>
      <c r="K49" s="59">
        <f t="shared" ca="1" si="16"/>
        <v>27.605307891822605</v>
      </c>
      <c r="L49" s="59">
        <f t="shared" ca="1" si="16"/>
        <v>30.735434694373197</v>
      </c>
      <c r="M49" s="59">
        <f t="shared" ca="1" si="16"/>
        <v>33.746649786116222</v>
      </c>
      <c r="N49" s="59">
        <f t="shared" ca="1" si="16"/>
        <v>36.643470554320359</v>
      </c>
      <c r="O49" s="59">
        <f t="shared" ca="1" si="16"/>
        <v>39.43024277331898</v>
      </c>
      <c r="P49" s="59">
        <f t="shared" ca="1" si="16"/>
        <v>42.111147123986484</v>
      </c>
      <c r="Q49" s="56">
        <f t="shared" ca="1" si="8"/>
        <v>44.690205465543585</v>
      </c>
    </row>
    <row r="50" spans="1:17" x14ac:dyDescent="0.2">
      <c r="A50" s="49">
        <v>1</v>
      </c>
      <c r="B50" s="59" t="str">
        <f t="shared" ref="B50:P50" si="17">IF($A50 &lt;= B$35, MAX(MAX(($G$3-B30),0), ($B$10*C49+$B$11*C50)/EXP($B$6 * $B$3/$B$5)),"")</f>
        <v/>
      </c>
      <c r="C50" s="59">
        <f t="shared" ca="1" si="17"/>
        <v>9.5678621682180758</v>
      </c>
      <c r="D50" s="59">
        <f t="shared" ca="1" si="17"/>
        <v>12.037190792039002</v>
      </c>
      <c r="E50" s="59">
        <f t="shared" ca="1" si="17"/>
        <v>14.824379902655805</v>
      </c>
      <c r="F50" s="59">
        <f t="shared" ca="1" si="17"/>
        <v>17.86567733659253</v>
      </c>
      <c r="G50" s="59">
        <f t="shared" ca="1" si="17"/>
        <v>21.073667480875653</v>
      </c>
      <c r="H50" s="59">
        <f t="shared" ca="1" si="17"/>
        <v>24.351573601332504</v>
      </c>
      <c r="I50" s="59">
        <f t="shared" ca="1" si="17"/>
        <v>27.605307891822605</v>
      </c>
      <c r="J50" s="59">
        <f t="shared" ca="1" si="17"/>
        <v>30.735434694373197</v>
      </c>
      <c r="K50" s="59">
        <f t="shared" ca="1" si="17"/>
        <v>33.746649786116222</v>
      </c>
      <c r="L50" s="59">
        <f t="shared" ca="1" si="17"/>
        <v>36.643470554320359</v>
      </c>
      <c r="M50" s="59">
        <f t="shared" ca="1" si="17"/>
        <v>39.43024277331898</v>
      </c>
      <c r="N50" s="59">
        <f t="shared" ca="1" si="17"/>
        <v>42.111147123986484</v>
      </c>
      <c r="O50" s="59">
        <f t="shared" ca="1" si="17"/>
        <v>44.690205465543585</v>
      </c>
      <c r="P50" s="59">
        <f t="shared" ca="1" si="17"/>
        <v>47.171286869100221</v>
      </c>
      <c r="Q50" s="56">
        <f t="shared" ca="1" si="8"/>
        <v>49.558113421987763</v>
      </c>
    </row>
    <row r="51" spans="1:17" x14ac:dyDescent="0.2">
      <c r="A51" s="49">
        <v>0</v>
      </c>
      <c r="B51" s="59">
        <f t="shared" ref="B51:O51" ca="1" si="18">IF($A51 &lt;= B$35, MAX(MAX(($G$3-B31),0), ($B$10*C50+$B$11*C51)/EXP($B$6 * $B$3/$B$5)),"")</f>
        <v>12.359784797284899</v>
      </c>
      <c r="C51" s="59">
        <f t="shared" ca="1" si="18"/>
        <v>15.076981871408204</v>
      </c>
      <c r="D51" s="59">
        <f t="shared" ca="1" si="18"/>
        <v>18.036477300042723</v>
      </c>
      <c r="E51" s="59">
        <f t="shared" ca="1" si="18"/>
        <v>21.16511026267623</v>
      </c>
      <c r="F51" s="59">
        <f t="shared" ca="1" si="18"/>
        <v>24.380542405888736</v>
      </c>
      <c r="G51" s="59">
        <f t="shared" ca="1" si="18"/>
        <v>27.605307891822591</v>
      </c>
      <c r="H51" s="59">
        <f t="shared" ca="1" si="18"/>
        <v>30.735434694373183</v>
      </c>
      <c r="I51" s="59">
        <f t="shared" ca="1" si="18"/>
        <v>33.746649786116208</v>
      </c>
      <c r="J51" s="59">
        <f t="shared" ca="1" si="18"/>
        <v>36.643470554320345</v>
      </c>
      <c r="K51" s="59">
        <f t="shared" ca="1" si="18"/>
        <v>39.430242773318966</v>
      </c>
      <c r="L51" s="59">
        <f t="shared" ca="1" si="18"/>
        <v>42.11114712398647</v>
      </c>
      <c r="M51" s="59">
        <f t="shared" ca="1" si="18"/>
        <v>44.690205465543571</v>
      </c>
      <c r="N51" s="59">
        <f t="shared" ca="1" si="18"/>
        <v>47.171286869100207</v>
      </c>
      <c r="O51" s="59">
        <f t="shared" ca="1" si="18"/>
        <v>49.558113421987748</v>
      </c>
      <c r="P51" s="59">
        <f ca="1">IF($A51 &lt;= P$35, MAX(MAX(($G$3-P31),0), ($B$10*Q50+$B$11*Q51)/EXP($B$6 * $B$3/$B$5)),"")</f>
        <v>51.854265811587879</v>
      </c>
      <c r="Q51" s="56">
        <f ca="1">MAX($G$2*(Q31-$G$3),0)</f>
        <v>54.063188697035102</v>
      </c>
    </row>
  </sheetData>
  <mergeCells count="2">
    <mergeCell ref="A1:B1"/>
    <mergeCell ref="F1:G1"/>
  </mergeCells>
  <dataValidations count="1">
    <dataValidation type="list" allowBlank="1" showInputMessage="1" showErrorMessage="1" sqref="G2">
      <formula1>"1, -1"</formula1>
    </dataValidation>
  </dataValidations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8"/>
  <sheetViews>
    <sheetView showGridLines="0" zoomScaleNormal="100" workbookViewId="0">
      <selection activeCell="E26" sqref="E26"/>
    </sheetView>
  </sheetViews>
  <sheetFormatPr baseColWidth="10" defaultColWidth="9.140625" defaultRowHeight="12.75" x14ac:dyDescent="0.2"/>
  <cols>
    <col min="1" max="1" width="10.42578125" style="1" bestFit="1" customWidth="1"/>
    <col min="2" max="6" width="9.140625" style="1"/>
    <col min="7" max="7" width="10.28515625" style="1" bestFit="1" customWidth="1"/>
    <col min="8" max="8" width="9.140625" style="1"/>
    <col min="9" max="9" width="10.28515625" style="1" bestFit="1" customWidth="1"/>
    <col min="10" max="16384" width="9.140625" style="1"/>
  </cols>
  <sheetData>
    <row r="1" spans="1:8" ht="13.5" thickBot="1" x14ac:dyDescent="0.25">
      <c r="A1" s="75" t="s">
        <v>0</v>
      </c>
      <c r="B1" s="76"/>
      <c r="E1" s="2"/>
      <c r="G1" s="77" t="s">
        <v>1</v>
      </c>
      <c r="H1" s="78"/>
    </row>
    <row r="2" spans="1:8" ht="13.5" thickBot="1" x14ac:dyDescent="0.25">
      <c r="A2" s="3" t="s">
        <v>2</v>
      </c>
      <c r="B2" s="4">
        <v>100</v>
      </c>
      <c r="G2" s="5" t="s">
        <v>3</v>
      </c>
      <c r="H2" s="6">
        <v>100</v>
      </c>
    </row>
    <row r="3" spans="1:8" ht="15" x14ac:dyDescent="0.25">
      <c r="A3" s="7" t="s">
        <v>4</v>
      </c>
      <c r="B3" s="8">
        <v>0.25</v>
      </c>
      <c r="D3" s="9"/>
    </row>
    <row r="4" spans="1:8" ht="15" x14ac:dyDescent="0.25">
      <c r="A4" s="7" t="s">
        <v>5</v>
      </c>
      <c r="B4" s="10">
        <v>0.23438000000000001</v>
      </c>
      <c r="D4" s="9"/>
    </row>
    <row r="5" spans="1:8" x14ac:dyDescent="0.2">
      <c r="A5" s="7" t="s">
        <v>6</v>
      </c>
      <c r="B5" s="11">
        <v>3</v>
      </c>
      <c r="D5" s="12"/>
    </row>
    <row r="6" spans="1:8" ht="15.75" thickBot="1" x14ac:dyDescent="0.3">
      <c r="A6" s="7" t="s">
        <v>7</v>
      </c>
      <c r="B6" s="8">
        <v>1.0100100000000001</v>
      </c>
      <c r="D6" s="12"/>
    </row>
    <row r="7" spans="1:8" x14ac:dyDescent="0.2">
      <c r="A7" s="13" t="s">
        <v>8</v>
      </c>
      <c r="B7" s="14">
        <v>1.07</v>
      </c>
    </row>
    <row r="8" spans="1:8" x14ac:dyDescent="0.2">
      <c r="A8" s="15" t="s">
        <v>9</v>
      </c>
      <c r="B8" s="16">
        <f>1/B7</f>
        <v>0.93457943925233644</v>
      </c>
      <c r="G8" s="17"/>
    </row>
    <row r="9" spans="1:8" x14ac:dyDescent="0.2">
      <c r="A9" s="15" t="s">
        <v>10</v>
      </c>
      <c r="B9" s="18">
        <f>(B6 - B8) / (B7 - B8)</f>
        <v>0.55700966183574907</v>
      </c>
      <c r="G9" s="17"/>
    </row>
    <row r="10" spans="1:8" ht="13.5" thickBot="1" x14ac:dyDescent="0.25">
      <c r="A10" s="19" t="s">
        <v>11</v>
      </c>
      <c r="B10" s="20">
        <f>1 - B9</f>
        <v>0.44299033816425093</v>
      </c>
      <c r="D10" s="21"/>
      <c r="F10" s="17"/>
    </row>
    <row r="11" spans="1:8" x14ac:dyDescent="0.2">
      <c r="D11" s="21"/>
      <c r="F11" s="17"/>
      <c r="G11" s="22"/>
    </row>
    <row r="12" spans="1:8" ht="13.5" thickBot="1" x14ac:dyDescent="0.25">
      <c r="G12" s="22"/>
    </row>
    <row r="13" spans="1:8" ht="13.5" thickBot="1" x14ac:dyDescent="0.25">
      <c r="A13" s="22"/>
      <c r="B13" s="72" t="s">
        <v>12</v>
      </c>
      <c r="C13" s="74"/>
      <c r="D13" s="23"/>
      <c r="E13" s="24"/>
      <c r="F13" s="22"/>
      <c r="G13" s="22"/>
    </row>
    <row r="14" spans="1:8" x14ac:dyDescent="0.2">
      <c r="A14" s="22"/>
      <c r="B14" s="25"/>
      <c r="C14" s="26"/>
      <c r="D14" s="26"/>
      <c r="E14" s="27">
        <f>B2 * (B7 ^ (3)) * (B8 ^ (0))</f>
        <v>122.50430000000001</v>
      </c>
      <c r="F14" s="22"/>
      <c r="G14" s="22"/>
    </row>
    <row r="15" spans="1:8" x14ac:dyDescent="0.2">
      <c r="A15" s="22"/>
      <c r="B15" s="25"/>
      <c r="C15" s="26"/>
      <c r="D15" s="26">
        <f>B2 * (B7 ^ (2)) * (B8 ^ (0))</f>
        <v>114.49000000000001</v>
      </c>
      <c r="E15" s="27">
        <f>B2 * (B7 ^ (2)) * (B8 ^ (1))</f>
        <v>107.00000000000001</v>
      </c>
      <c r="F15" s="22"/>
      <c r="G15" s="22"/>
    </row>
    <row r="16" spans="1:8" x14ac:dyDescent="0.2">
      <c r="A16" s="22"/>
      <c r="B16" s="25"/>
      <c r="C16" s="26">
        <f>B2 * (B7 ^ (1)) * (B8 ^ (0))</f>
        <v>107</v>
      </c>
      <c r="D16" s="26">
        <f>B2 * (B7 ^ (1)) * (B8 ^ (1))</f>
        <v>100</v>
      </c>
      <c r="E16" s="27">
        <f>B2 * (B7 ^ (1)) * (B8 ^ (2))</f>
        <v>93.45794392523365</v>
      </c>
      <c r="F16" s="22"/>
      <c r="G16" s="22"/>
    </row>
    <row r="17" spans="1:7" x14ac:dyDescent="0.2">
      <c r="A17" s="22"/>
      <c r="B17" s="25">
        <f>B2 * (B7 ^ (0)) * (B8 ^ (0))</f>
        <v>100</v>
      </c>
      <c r="C17" s="26">
        <f>B2 * (B7 ^ (0)) * (B8 ^ (1))</f>
        <v>93.45794392523365</v>
      </c>
      <c r="D17" s="26">
        <f>B2 * (B7 ^ (0)) * (B8 ^ (2))</f>
        <v>87.343872827321164</v>
      </c>
      <c r="E17" s="27">
        <f>B2 * (B7 ^ (0)) * (B8 ^ (3))</f>
        <v>81.629787689085191</v>
      </c>
      <c r="F17" s="22"/>
      <c r="G17" s="28"/>
    </row>
    <row r="18" spans="1:7" x14ac:dyDescent="0.2">
      <c r="A18" s="22"/>
      <c r="B18" s="29"/>
      <c r="C18" s="30"/>
      <c r="D18" s="30"/>
      <c r="E18" s="31"/>
      <c r="F18" s="22"/>
    </row>
    <row r="19" spans="1:7" ht="13.5" thickBot="1" x14ac:dyDescent="0.25">
      <c r="A19" s="28"/>
      <c r="B19" s="32" t="s">
        <v>13</v>
      </c>
      <c r="C19" s="33" t="s">
        <v>14</v>
      </c>
      <c r="D19" s="33" t="s">
        <v>15</v>
      </c>
      <c r="E19" s="34" t="s">
        <v>16</v>
      </c>
      <c r="F19" s="28"/>
    </row>
    <row r="20" spans="1:7" x14ac:dyDescent="0.2">
      <c r="G20" s="22"/>
    </row>
    <row r="21" spans="1:7" ht="13.5" thickBot="1" x14ac:dyDescent="0.25">
      <c r="G21" s="22"/>
    </row>
    <row r="22" spans="1:7" ht="13.5" thickBot="1" x14ac:dyDescent="0.25">
      <c r="A22" s="22"/>
      <c r="B22" s="72" t="s">
        <v>17</v>
      </c>
      <c r="C22" s="74"/>
      <c r="D22" s="23"/>
      <c r="E22" s="24"/>
      <c r="F22" s="22"/>
      <c r="G22" s="22"/>
    </row>
    <row r="23" spans="1:7" x14ac:dyDescent="0.2">
      <c r="A23" s="22"/>
      <c r="B23" s="25"/>
      <c r="C23" s="26"/>
      <c r="D23" s="26"/>
      <c r="E23" s="27">
        <f>MAX($E$14 - $H$2, 0)</f>
        <v>22.504300000000015</v>
      </c>
      <c r="F23" s="22"/>
      <c r="G23" s="22"/>
    </row>
    <row r="24" spans="1:7" x14ac:dyDescent="0.2">
      <c r="A24" s="22"/>
      <c r="B24" s="25"/>
      <c r="C24" s="26"/>
      <c r="D24" s="26">
        <f xml:space="preserve"> ($B$9 *$E$23 + $B$10 *$E$24)/$B$6</f>
        <v>15.48107929624461</v>
      </c>
      <c r="E24" s="27">
        <f>MAX($E$15 - $H$2, 0)</f>
        <v>7.0000000000000142</v>
      </c>
      <c r="F24" s="22"/>
      <c r="G24" s="22"/>
    </row>
    <row r="25" spans="1:7" x14ac:dyDescent="0.2">
      <c r="A25" s="22"/>
      <c r="B25" s="25"/>
      <c r="C25" s="26">
        <f>($B$9 *$D$24 + $B$10 *$D$25)/$B$6</f>
        <v>10.230831004401377</v>
      </c>
      <c r="D25" s="26">
        <f xml:space="preserve"> ($B$9 *$E$24 + $B$10 *$E$25)/$B$6</f>
        <v>3.860424780794498</v>
      </c>
      <c r="E25" s="27">
        <f>MAX($E$16 - $H$2, 0)</f>
        <v>0</v>
      </c>
      <c r="F25" s="22"/>
      <c r="G25" s="22"/>
    </row>
    <row r="26" spans="1:7" x14ac:dyDescent="0.2">
      <c r="A26" s="22"/>
      <c r="B26" s="25">
        <f xml:space="preserve"> ($B$9 *$C$25 + $B$10 *$C$26)/$B$6</f>
        <v>6.5759651107427004</v>
      </c>
      <c r="C26" s="26">
        <f xml:space="preserve"> ($B$9 *$D$25 + $B$10 *$D$26)/$B$6</f>
        <v>2.1289827840246027</v>
      </c>
      <c r="D26" s="26">
        <f xml:space="preserve"> ($B$9 *$E$25 + $B$10 *$E$26)/$B$6</f>
        <v>0</v>
      </c>
      <c r="E26" s="27">
        <f>MAX($E$17 - $H$2, 0)</f>
        <v>0</v>
      </c>
      <c r="F26" s="22"/>
      <c r="G26" s="28"/>
    </row>
    <row r="27" spans="1:7" x14ac:dyDescent="0.2">
      <c r="A27" s="22"/>
      <c r="B27" s="25"/>
      <c r="C27" s="26"/>
      <c r="D27" s="26"/>
      <c r="E27" s="27"/>
      <c r="F27" s="22"/>
    </row>
    <row r="28" spans="1:7" ht="13.5" thickBot="1" x14ac:dyDescent="0.25">
      <c r="A28" s="28"/>
      <c r="B28" s="32" t="s">
        <v>13</v>
      </c>
      <c r="C28" s="33" t="s">
        <v>14</v>
      </c>
      <c r="D28" s="33" t="s">
        <v>15</v>
      </c>
      <c r="E28" s="34" t="s">
        <v>16</v>
      </c>
      <c r="F28" s="28"/>
    </row>
  </sheetData>
  <dataConsolidate/>
  <mergeCells count="4">
    <mergeCell ref="A1:B1"/>
    <mergeCell ref="G1:H1"/>
    <mergeCell ref="B13:C13"/>
    <mergeCell ref="B22:C22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28"/>
  <sheetViews>
    <sheetView showGridLines="0" zoomScaleNormal="100" workbookViewId="0">
      <selection activeCell="D26" sqref="D26"/>
    </sheetView>
  </sheetViews>
  <sheetFormatPr baseColWidth="10" defaultColWidth="9.140625" defaultRowHeight="12.75" x14ac:dyDescent="0.2"/>
  <cols>
    <col min="1" max="1" width="10.42578125" style="1" bestFit="1" customWidth="1"/>
    <col min="2" max="6" width="9.140625" style="1"/>
    <col min="7" max="7" width="10.28515625" style="1" bestFit="1" customWidth="1"/>
    <col min="8" max="8" width="9.140625" style="1"/>
    <col min="9" max="9" width="10.28515625" style="1" bestFit="1" customWidth="1"/>
    <col min="10" max="16384" width="9.140625" style="1"/>
  </cols>
  <sheetData>
    <row r="1" spans="1:8" ht="13.5" thickBot="1" x14ac:dyDescent="0.25">
      <c r="A1" s="75" t="s">
        <v>0</v>
      </c>
      <c r="B1" s="76"/>
      <c r="E1" s="2"/>
      <c r="G1" s="77" t="s">
        <v>1</v>
      </c>
      <c r="H1" s="78"/>
    </row>
    <row r="2" spans="1:8" ht="13.5" thickBot="1" x14ac:dyDescent="0.25">
      <c r="A2" s="3" t="s">
        <v>2</v>
      </c>
      <c r="B2" s="4">
        <v>100</v>
      </c>
      <c r="G2" s="5" t="s">
        <v>3</v>
      </c>
      <c r="H2" s="6">
        <v>100</v>
      </c>
    </row>
    <row r="3" spans="1:8" ht="15" x14ac:dyDescent="0.25">
      <c r="A3" s="7" t="s">
        <v>4</v>
      </c>
      <c r="B3" s="8">
        <v>0.25</v>
      </c>
      <c r="D3" s="9"/>
    </row>
    <row r="4" spans="1:8" ht="15" x14ac:dyDescent="0.25">
      <c r="A4" s="7" t="s">
        <v>5</v>
      </c>
      <c r="B4" s="10">
        <v>0.23438000000000001</v>
      </c>
      <c r="D4" s="9"/>
    </row>
    <row r="5" spans="1:8" x14ac:dyDescent="0.2">
      <c r="A5" s="7" t="s">
        <v>6</v>
      </c>
      <c r="B5" s="11">
        <v>3</v>
      </c>
      <c r="D5" s="12"/>
    </row>
    <row r="6" spans="1:8" ht="15.75" thickBot="1" x14ac:dyDescent="0.3">
      <c r="A6" s="7" t="s">
        <v>7</v>
      </c>
      <c r="B6" s="8">
        <v>1.0100100000000001</v>
      </c>
      <c r="D6" s="12"/>
    </row>
    <row r="7" spans="1:8" x14ac:dyDescent="0.2">
      <c r="A7" s="13" t="s">
        <v>8</v>
      </c>
      <c r="B7" s="14">
        <v>1.07</v>
      </c>
      <c r="G7" s="17"/>
    </row>
    <row r="8" spans="1:8" x14ac:dyDescent="0.2">
      <c r="A8" s="15" t="s">
        <v>9</v>
      </c>
      <c r="B8" s="16">
        <f>1/B7</f>
        <v>0.93457943925233644</v>
      </c>
      <c r="G8" s="17"/>
    </row>
    <row r="9" spans="1:8" x14ac:dyDescent="0.2">
      <c r="A9" s="15" t="s">
        <v>10</v>
      </c>
      <c r="B9" s="18">
        <f>(B6 - B8) / (B7 - B8)</f>
        <v>0.55700966183574907</v>
      </c>
    </row>
    <row r="10" spans="1:8" ht="13.5" thickBot="1" x14ac:dyDescent="0.25">
      <c r="A10" s="19" t="s">
        <v>11</v>
      </c>
      <c r="B10" s="20">
        <f>1 - B9</f>
        <v>0.44299033816425093</v>
      </c>
      <c r="D10" s="21"/>
      <c r="F10" s="17"/>
      <c r="G10" s="22"/>
    </row>
    <row r="11" spans="1:8" x14ac:dyDescent="0.2">
      <c r="D11" s="21"/>
      <c r="F11" s="17"/>
      <c r="G11" s="22"/>
    </row>
    <row r="12" spans="1:8" ht="13.5" thickBot="1" x14ac:dyDescent="0.25">
      <c r="G12" s="22"/>
    </row>
    <row r="13" spans="1:8" ht="13.5" thickBot="1" x14ac:dyDescent="0.25">
      <c r="A13" s="22"/>
      <c r="B13" s="72" t="s">
        <v>12</v>
      </c>
      <c r="C13" s="74"/>
      <c r="D13" s="23"/>
      <c r="E13" s="24"/>
      <c r="F13" s="22"/>
      <c r="G13" s="22"/>
    </row>
    <row r="14" spans="1:8" x14ac:dyDescent="0.2">
      <c r="A14" s="22"/>
      <c r="B14" s="35"/>
      <c r="C14" s="36"/>
      <c r="D14" s="36"/>
      <c r="E14" s="37">
        <f>B2 * (B7 ^ (3)) * (B8 ^ (0))</f>
        <v>122.50430000000001</v>
      </c>
      <c r="F14" s="22"/>
      <c r="G14" s="22"/>
    </row>
    <row r="15" spans="1:8" x14ac:dyDescent="0.2">
      <c r="A15" s="22"/>
      <c r="B15" s="35"/>
      <c r="C15" s="36"/>
      <c r="D15" s="36">
        <f>B2 * (B7 ^ (2)) * (B8 ^ (0))</f>
        <v>114.49000000000001</v>
      </c>
      <c r="E15" s="37">
        <f>B2 * (B7 ^ (2)) * (B8 ^ (1))</f>
        <v>107.00000000000001</v>
      </c>
      <c r="F15" s="22"/>
      <c r="G15" s="22"/>
    </row>
    <row r="16" spans="1:8" x14ac:dyDescent="0.2">
      <c r="A16" s="22"/>
      <c r="B16" s="35"/>
      <c r="C16" s="36">
        <f>B2 * (B7 ^ (1)) * (B8 ^ (0))</f>
        <v>107</v>
      </c>
      <c r="D16" s="36">
        <f>B2 * (B7 ^ (1)) * (B8 ^ (1))</f>
        <v>100</v>
      </c>
      <c r="E16" s="37">
        <f>B2 * (B7 ^ (1)) * (B8 ^ (2))</f>
        <v>93.45794392523365</v>
      </c>
      <c r="F16" s="22"/>
      <c r="G16" s="28"/>
    </row>
    <row r="17" spans="1:7" x14ac:dyDescent="0.2">
      <c r="A17" s="22"/>
      <c r="B17" s="35">
        <f>B2 * (B7 ^ (0)) * (B8 ^ (0))</f>
        <v>100</v>
      </c>
      <c r="C17" s="36">
        <f>B2 * (B7 ^ (0)) * (B8 ^ (1))</f>
        <v>93.45794392523365</v>
      </c>
      <c r="D17" s="36">
        <f>B2 * (B7 ^ (0)) * (B8 ^ (2))</f>
        <v>87.343872827321164</v>
      </c>
      <c r="E17" s="37">
        <f>B2 * (B7 ^ (0)) * (B8 ^ (3))</f>
        <v>81.629787689085191</v>
      </c>
      <c r="F17" s="22"/>
    </row>
    <row r="18" spans="1:7" x14ac:dyDescent="0.2">
      <c r="A18" s="22"/>
      <c r="B18" s="29"/>
      <c r="C18" s="30"/>
      <c r="D18" s="30"/>
      <c r="E18" s="31"/>
      <c r="F18" s="22"/>
    </row>
    <row r="19" spans="1:7" ht="13.5" thickBot="1" x14ac:dyDescent="0.25">
      <c r="A19" s="28"/>
      <c r="B19" s="32" t="s">
        <v>13</v>
      </c>
      <c r="C19" s="33" t="s">
        <v>14</v>
      </c>
      <c r="D19" s="33" t="s">
        <v>15</v>
      </c>
      <c r="E19" s="34" t="s">
        <v>16</v>
      </c>
      <c r="F19" s="28"/>
      <c r="G19" s="22"/>
    </row>
    <row r="20" spans="1:7" x14ac:dyDescent="0.2">
      <c r="G20" s="22"/>
    </row>
    <row r="21" spans="1:7" ht="13.5" thickBot="1" x14ac:dyDescent="0.25">
      <c r="G21" s="22"/>
    </row>
    <row r="22" spans="1:7" ht="13.5" thickBot="1" x14ac:dyDescent="0.25">
      <c r="A22" s="22"/>
      <c r="B22" s="72" t="s">
        <v>17</v>
      </c>
      <c r="C22" s="74"/>
      <c r="D22" s="23"/>
      <c r="E22" s="24"/>
      <c r="F22" s="22"/>
      <c r="G22" s="22"/>
    </row>
    <row r="23" spans="1:7" x14ac:dyDescent="0.2">
      <c r="A23" s="22"/>
      <c r="B23" s="29"/>
      <c r="C23" s="30"/>
      <c r="D23" s="30"/>
      <c r="E23" s="31">
        <f>MAX( $H$2 - $E$14, 0)</f>
        <v>0</v>
      </c>
      <c r="F23" s="22"/>
      <c r="G23" s="22"/>
    </row>
    <row r="24" spans="1:7" x14ac:dyDescent="0.2">
      <c r="A24" s="22"/>
      <c r="B24" s="29"/>
      <c r="C24" s="30"/>
      <c r="D24" s="30">
        <f>MAX(MAX($H$2 - $D$15, 0),  ($B$9 *$E$23 + $B$10 *$E$24)/$B$6)</f>
        <v>0</v>
      </c>
      <c r="E24" s="31">
        <f>MAX( $H$2 - $E$15, 0)</f>
        <v>0</v>
      </c>
      <c r="F24" s="22"/>
      <c r="G24" s="22"/>
    </row>
    <row r="25" spans="1:7" x14ac:dyDescent="0.2">
      <c r="A25" s="22"/>
      <c r="B25" s="29"/>
      <c r="C25" s="30">
        <f>MAX(MAX($H$2 - $C$16, 0),  ($B$9 *$D$24 + $B$10 *$D$25)/$B$6)</f>
        <v>1.2584947936266209</v>
      </c>
      <c r="D25" s="30">
        <f>MAX(MAX($H$2 - $D$16, 0),  ($B$9 *$E$24 + $B$10 *$E$25)/$B$6)</f>
        <v>2.8693454845498927</v>
      </c>
      <c r="E25" s="31">
        <f>MAX( $H$2 - $E$16, 0)</f>
        <v>6.5420560747663501</v>
      </c>
      <c r="F25" s="22"/>
      <c r="G25" s="28"/>
    </row>
    <row r="26" spans="1:7" x14ac:dyDescent="0.2">
      <c r="A26" s="22"/>
      <c r="B26" s="29">
        <f>MAX(MAX($H$2 - $B$17, 0),  ($B$9 *$C$25 + $B$10 *$C$26)/$B$6)</f>
        <v>3.822750862961048</v>
      </c>
      <c r="C26" s="30">
        <f>MAX(MAX($H$2 - $C$17, 0),  ($B$9 *$D$25 + $B$10 *$D$26)/$B$6)</f>
        <v>7.1333899804099286</v>
      </c>
      <c r="D26" s="38">
        <f>MAX(MAX($H$2 - $D$17, 0),  ($B$9 *$E$25 + $B$10 *$E$26)/$B$6)</f>
        <v>12.656127172678836</v>
      </c>
      <c r="E26" s="31">
        <f>MAX( $H$2 - $E$17, 0)</f>
        <v>18.370212310914809</v>
      </c>
      <c r="F26" s="22"/>
    </row>
    <row r="27" spans="1:7" x14ac:dyDescent="0.2">
      <c r="A27" s="22"/>
      <c r="B27" s="29"/>
      <c r="C27" s="30"/>
      <c r="D27" s="30"/>
      <c r="E27" s="31"/>
      <c r="F27" s="22"/>
    </row>
    <row r="28" spans="1:7" ht="13.5" thickBot="1" x14ac:dyDescent="0.25">
      <c r="A28" s="28"/>
      <c r="B28" s="32" t="s">
        <v>13</v>
      </c>
      <c r="C28" s="33" t="s">
        <v>14</v>
      </c>
      <c r="D28" s="33" t="s">
        <v>15</v>
      </c>
      <c r="E28" s="34" t="s">
        <v>16</v>
      </c>
      <c r="F28" s="28"/>
    </row>
  </sheetData>
  <dataConsolidate/>
  <mergeCells count="4">
    <mergeCell ref="A1:B1"/>
    <mergeCell ref="G1:H1"/>
    <mergeCell ref="B13:C13"/>
    <mergeCell ref="B22:C22"/>
  </mergeCell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N58"/>
  <sheetViews>
    <sheetView showGridLines="0" topLeftCell="A10" zoomScaleNormal="100" workbookViewId="0">
      <selection activeCell="N11" sqref="N11"/>
    </sheetView>
  </sheetViews>
  <sheetFormatPr baseColWidth="10" defaultColWidth="9.140625" defaultRowHeight="12.75" x14ac:dyDescent="0.2"/>
  <cols>
    <col min="1" max="1" width="10.42578125" style="1" bestFit="1" customWidth="1"/>
    <col min="2" max="6" width="9.140625" style="1"/>
    <col min="7" max="7" width="10.28515625" style="1" bestFit="1" customWidth="1"/>
    <col min="8" max="8" width="9.140625" style="1"/>
    <col min="9" max="9" width="10.28515625" style="1" bestFit="1" customWidth="1"/>
    <col min="10" max="16384" width="9.140625" style="1"/>
  </cols>
  <sheetData>
    <row r="1" spans="1:14" ht="13.5" thickBot="1" x14ac:dyDescent="0.25">
      <c r="A1" s="75" t="s">
        <v>0</v>
      </c>
      <c r="B1" s="76"/>
      <c r="E1" s="75" t="s">
        <v>18</v>
      </c>
      <c r="F1" s="76"/>
      <c r="I1" s="75" t="s">
        <v>1</v>
      </c>
      <c r="J1" s="76"/>
    </row>
    <row r="2" spans="1:14" ht="13.5" thickBot="1" x14ac:dyDescent="0.25">
      <c r="A2" s="3" t="s">
        <v>2</v>
      </c>
      <c r="B2" s="4">
        <v>100</v>
      </c>
      <c r="E2" s="39" t="s">
        <v>19</v>
      </c>
      <c r="F2" s="40">
        <v>10</v>
      </c>
      <c r="I2" s="41" t="s">
        <v>20</v>
      </c>
      <c r="J2" s="42">
        <v>1</v>
      </c>
    </row>
    <row r="3" spans="1:14" ht="15" x14ac:dyDescent="0.25">
      <c r="A3" s="7" t="s">
        <v>4</v>
      </c>
      <c r="B3" s="8">
        <v>0.25</v>
      </c>
      <c r="D3" s="9"/>
      <c r="I3" s="43" t="s">
        <v>3</v>
      </c>
      <c r="J3" s="11">
        <v>110</v>
      </c>
    </row>
    <row r="4" spans="1:14" ht="15" x14ac:dyDescent="0.25">
      <c r="A4" s="7" t="s">
        <v>5</v>
      </c>
      <c r="B4" s="10">
        <v>0.3</v>
      </c>
      <c r="D4" s="9"/>
      <c r="I4" s="43" t="s">
        <v>19</v>
      </c>
      <c r="J4" s="11">
        <v>10</v>
      </c>
    </row>
    <row r="5" spans="1:14" ht="13.5" thickBot="1" x14ac:dyDescent="0.25">
      <c r="A5" s="7" t="s">
        <v>6</v>
      </c>
      <c r="B5" s="11">
        <v>15</v>
      </c>
      <c r="D5" s="12"/>
      <c r="G5" s="17"/>
      <c r="H5" s="17"/>
      <c r="I5" s="44" t="s">
        <v>21</v>
      </c>
      <c r="J5" s="45" t="s">
        <v>22</v>
      </c>
    </row>
    <row r="6" spans="1:14" ht="15" x14ac:dyDescent="0.25">
      <c r="A6" s="7" t="s">
        <v>23</v>
      </c>
      <c r="B6" s="46">
        <v>0.02</v>
      </c>
      <c r="D6" s="12"/>
    </row>
    <row r="7" spans="1:14" ht="15.75" thickBot="1" x14ac:dyDescent="0.3">
      <c r="A7" s="47" t="s">
        <v>24</v>
      </c>
      <c r="B7" s="48">
        <v>0.01</v>
      </c>
    </row>
    <row r="8" spans="1:14" x14ac:dyDescent="0.2">
      <c r="A8" s="13" t="s">
        <v>8</v>
      </c>
      <c r="B8" s="14">
        <f>EXP(B4*SQRT(B3/B5))</f>
        <v>1.0394896104013376</v>
      </c>
    </row>
    <row r="9" spans="1:14" x14ac:dyDescent="0.2">
      <c r="A9" s="15" t="s">
        <v>9</v>
      </c>
      <c r="B9" s="16">
        <f>1/B8</f>
        <v>0.96201057710803761</v>
      </c>
    </row>
    <row r="10" spans="1:14" x14ac:dyDescent="0.2">
      <c r="A10" s="15" t="s">
        <v>10</v>
      </c>
      <c r="B10" s="18">
        <f>(EXP((B6 - B7) * B3/B5) - B9) / (B8 - B9)</f>
        <v>0.49247005062451049</v>
      </c>
      <c r="D10" s="21"/>
      <c r="F10" s="17"/>
      <c r="G10" s="17"/>
    </row>
    <row r="11" spans="1:14" ht="13.5" thickBot="1" x14ac:dyDescent="0.25">
      <c r="A11" s="19" t="s">
        <v>11</v>
      </c>
      <c r="B11" s="20">
        <f>1 - B10</f>
        <v>0.50752994937548945</v>
      </c>
      <c r="D11" s="21"/>
      <c r="F11" s="17"/>
      <c r="G11" s="17"/>
    </row>
    <row r="12" spans="1:14" ht="13.5" thickBot="1" x14ac:dyDescent="0.25"/>
    <row r="13" spans="1:14" ht="13.5" thickBot="1" x14ac:dyDescent="0.25">
      <c r="A13" s="22"/>
      <c r="B13" s="72" t="s">
        <v>12</v>
      </c>
      <c r="C13" s="74"/>
      <c r="D13" s="23"/>
      <c r="E13" s="23"/>
      <c r="F13" s="23"/>
      <c r="G13" s="23"/>
      <c r="H13" s="23"/>
      <c r="I13" s="23"/>
      <c r="J13" s="23"/>
      <c r="K13" s="23"/>
      <c r="L13" s="24"/>
      <c r="M13" s="22"/>
      <c r="N13" s="22"/>
    </row>
    <row r="14" spans="1:14" x14ac:dyDescent="0.2">
      <c r="A14" s="22"/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1">
        <f>B2 * (B8 ^ (10)) * (B9 ^ (0))</f>
        <v>147.29958713933712</v>
      </c>
      <c r="M14" s="22"/>
      <c r="N14" s="22"/>
    </row>
    <row r="15" spans="1:14" x14ac:dyDescent="0.2">
      <c r="A15" s="22"/>
      <c r="B15" s="29"/>
      <c r="C15" s="30"/>
      <c r="D15" s="30"/>
      <c r="E15" s="30"/>
      <c r="F15" s="30"/>
      <c r="G15" s="30"/>
      <c r="H15" s="30"/>
      <c r="I15" s="30"/>
      <c r="J15" s="30"/>
      <c r="K15" s="30">
        <f>B2 * (B8 ^ (9)) * (B9 ^ (0))</f>
        <v>141.70376083168941</v>
      </c>
      <c r="L15" s="31">
        <f>B2 * (B8 ^ (9)) * (B9 ^ (1))</f>
        <v>136.32051673607288</v>
      </c>
      <c r="M15" s="22"/>
      <c r="N15" s="22"/>
    </row>
    <row r="16" spans="1:14" x14ac:dyDescent="0.2">
      <c r="A16" s="22"/>
      <c r="B16" s="29"/>
      <c r="C16" s="30"/>
      <c r="D16" s="30"/>
      <c r="E16" s="30"/>
      <c r="F16" s="30"/>
      <c r="G16" s="30"/>
      <c r="H16" s="30"/>
      <c r="I16" s="30"/>
      <c r="J16" s="30">
        <f>B2 * (B8 ^ (8)) * (B9 ^ (0))</f>
        <v>136.32051673607288</v>
      </c>
      <c r="K16" s="30">
        <f>B2 * (B8 ^ (8)) * (B9 ^ (1))</f>
        <v>131.14177897693537</v>
      </c>
      <c r="L16" s="31">
        <f>B2 * (B8 ^ (8)) * (B9 ^ (2))</f>
        <v>126.15977847657631</v>
      </c>
      <c r="M16" s="22"/>
      <c r="N16" s="22"/>
    </row>
    <row r="17" spans="1:14" x14ac:dyDescent="0.2">
      <c r="A17" s="22"/>
      <c r="B17" s="29"/>
      <c r="C17" s="30"/>
      <c r="D17" s="30"/>
      <c r="E17" s="30"/>
      <c r="F17" s="30"/>
      <c r="G17" s="30"/>
      <c r="H17" s="30"/>
      <c r="I17" s="30">
        <f>B2 * (B8 ^ (7)) * (B9 ^ (0))</f>
        <v>131.14177897693537</v>
      </c>
      <c r="J17" s="30">
        <f>B2 * (B8 ^ (7)) * (B9 ^ (1))</f>
        <v>126.15977847657631</v>
      </c>
      <c r="K17" s="30">
        <f>B2 * (B8 ^ (7)) * (B9 ^ (2))</f>
        <v>121.36704130007335</v>
      </c>
      <c r="L17" s="31">
        <f>B2 * (B8 ^ (7)) * (B9 ^ (3))</f>
        <v>116.7563774429786</v>
      </c>
      <c r="M17" s="22"/>
      <c r="N17" s="22"/>
    </row>
    <row r="18" spans="1:14" x14ac:dyDescent="0.2">
      <c r="A18" s="22"/>
      <c r="B18" s="29"/>
      <c r="C18" s="30"/>
      <c r="D18" s="30"/>
      <c r="E18" s="30"/>
      <c r="F18" s="30"/>
      <c r="G18" s="30"/>
      <c r="H18" s="30">
        <f>B2 * (B8 ^ (6)) * (B9 ^ (0))</f>
        <v>126.15977847657631</v>
      </c>
      <c r="I18" s="30">
        <f>B2 * (B8 ^ (6)) * (B9 ^ (1))</f>
        <v>121.36704130007335</v>
      </c>
      <c r="J18" s="30">
        <f>B2 * (B8 ^ (6)) * (B9 ^ (2))</f>
        <v>116.7563774429786</v>
      </c>
      <c r="K18" s="30">
        <f>B2 * (B8 ^ (6)) * (B9 ^ (3))</f>
        <v>112.3208700449637</v>
      </c>
      <c r="L18" s="31">
        <f>B2 * (B8 ^ (6)) * (B9 ^ (4))</f>
        <v>108.05386501323244</v>
      </c>
      <c r="M18" s="22"/>
      <c r="N18" s="22"/>
    </row>
    <row r="19" spans="1:14" x14ac:dyDescent="0.2">
      <c r="A19" s="22"/>
      <c r="B19" s="29"/>
      <c r="C19" s="30"/>
      <c r="D19" s="30"/>
      <c r="E19" s="30"/>
      <c r="F19" s="30"/>
      <c r="G19" s="30">
        <f>B2 * (B8 ^ (5)) * (B9 ^ (0))</f>
        <v>121.36704130007337</v>
      </c>
      <c r="H19" s="30">
        <f>B2 * (B8 ^ (5)) * (B9 ^ (1))</f>
        <v>116.75637744297862</v>
      </c>
      <c r="I19" s="30">
        <f>B2 * (B8 ^ (5)) * (B9 ^ (2))</f>
        <v>112.32087004496373</v>
      </c>
      <c r="J19" s="30">
        <f>B2 * (B8 ^ (5)) * (B9 ^ (3))</f>
        <v>108.05386501323244</v>
      </c>
      <c r="K19" s="30">
        <f>B2 * (B8 ^ (5)) * (B9 ^ (4))</f>
        <v>103.94896104013374</v>
      </c>
      <c r="L19" s="31">
        <f>B2 * (B8 ^ (5)) * (B9 ^ (5))</f>
        <v>99.999999999999972</v>
      </c>
      <c r="M19" s="22"/>
      <c r="N19" s="22"/>
    </row>
    <row r="20" spans="1:14" x14ac:dyDescent="0.2">
      <c r="A20" s="22"/>
      <c r="B20" s="29"/>
      <c r="C20" s="30"/>
      <c r="D20" s="30"/>
      <c r="E20" s="30"/>
      <c r="F20" s="30">
        <f>B2 * (B8 ^ (4)) * (B9 ^ (0))</f>
        <v>116.75637744297862</v>
      </c>
      <c r="G20" s="30">
        <f>B2 * (B8 ^ (4)) * (B9 ^ (1))</f>
        <v>112.32087004496373</v>
      </c>
      <c r="H20" s="30">
        <f>B2 * (B8 ^ (4)) * (B9 ^ (2))</f>
        <v>108.05386501323244</v>
      </c>
      <c r="I20" s="30">
        <f>B2 * (B8 ^ (4)) * (B9 ^ (3))</f>
        <v>103.94896104013374</v>
      </c>
      <c r="J20" s="30">
        <f>B2 * (B8 ^ (4)) * (B9 ^ (4))</f>
        <v>99.999999999999972</v>
      </c>
      <c r="K20" s="30">
        <f>B2 * (B8 ^ (4)) * (B9 ^ (5))</f>
        <v>96.201057710803738</v>
      </c>
      <c r="L20" s="31">
        <f>B2 * (B8 ^ (4)) * (B9 ^ (6))</f>
        <v>92.546435046773937</v>
      </c>
      <c r="M20" s="22"/>
      <c r="N20" s="22"/>
    </row>
    <row r="21" spans="1:14" x14ac:dyDescent="0.2">
      <c r="A21" s="22"/>
      <c r="B21" s="29"/>
      <c r="C21" s="30"/>
      <c r="D21" s="30"/>
      <c r="E21" s="30">
        <f>B2 * (B8 ^ (3)) * (B9 ^ (0))</f>
        <v>112.32087004496374</v>
      </c>
      <c r="F21" s="30">
        <f>B2 * (B8 ^ (3)) * (B9 ^ (1))</f>
        <v>108.05386501323247</v>
      </c>
      <c r="G21" s="30">
        <f>B2 * (B8 ^ (3)) * (B9 ^ (2))</f>
        <v>103.94896104013375</v>
      </c>
      <c r="H21" s="30">
        <f>B2 * (B8 ^ (3)) * (B9 ^ (3))</f>
        <v>99.999999999999986</v>
      </c>
      <c r="I21" s="30">
        <f>B2 * (B8 ^ (3)) * (B9 ^ (4))</f>
        <v>96.201057710803752</v>
      </c>
      <c r="J21" s="30">
        <f>B2 * (B8 ^ (3)) * (B9 ^ (5))</f>
        <v>92.546435046773951</v>
      </c>
      <c r="K21" s="30">
        <f>B2 * (B8 ^ (3)) * (B9 ^ (6))</f>
        <v>89.030649388638523</v>
      </c>
      <c r="L21" s="31">
        <f>B2 * (B8 ^ (3)) * (B9 ^ (7))</f>
        <v>85.648426398667496</v>
      </c>
      <c r="M21" s="22"/>
      <c r="N21" s="22"/>
    </row>
    <row r="22" spans="1:14" x14ac:dyDescent="0.2">
      <c r="A22" s="22"/>
      <c r="B22" s="29"/>
      <c r="C22" s="30"/>
      <c r="D22" s="30">
        <f>B2 * (B8 ^ (2)) * (B9 ^ (0))</f>
        <v>108.05386501323247</v>
      </c>
      <c r="E22" s="30">
        <f>B2 * (B8 ^ (2)) * (B9 ^ (1))</f>
        <v>103.94896104013377</v>
      </c>
      <c r="F22" s="30">
        <f>B2 * (B8 ^ (2)) * (B9 ^ (2))</f>
        <v>100</v>
      </c>
      <c r="G22" s="30">
        <f>B2 * (B8 ^ (2)) * (B9 ^ (3))</f>
        <v>96.201057710803752</v>
      </c>
      <c r="H22" s="30">
        <f>B2 * (B8 ^ (2)) * (B9 ^ (4))</f>
        <v>92.546435046773951</v>
      </c>
      <c r="I22" s="30">
        <f>B2 * (B8 ^ (2)) * (B9 ^ (5))</f>
        <v>89.030649388638523</v>
      </c>
      <c r="J22" s="30">
        <f>B2 * (B8 ^ (2)) * (B9 ^ (6))</f>
        <v>85.648426398667496</v>
      </c>
      <c r="K22" s="30">
        <f>B2 * (B8 ^ (2)) * (B9 ^ (7))</f>
        <v>82.394692108177409</v>
      </c>
      <c r="L22" s="31">
        <f>B2 * (B8 ^ (2)) * (B9 ^ (8))</f>
        <v>79.264565305626817</v>
      </c>
      <c r="M22" s="22"/>
      <c r="N22" s="22"/>
    </row>
    <row r="23" spans="1:14" x14ac:dyDescent="0.2">
      <c r="A23" s="22"/>
      <c r="B23" s="29"/>
      <c r="C23" s="30">
        <f>B2 * (B8 ^ (1)) * (B9 ^ (0))</f>
        <v>103.94896104013375</v>
      </c>
      <c r="D23" s="30">
        <f>B2 * (B8 ^ (1)) * (B9 ^ (1))</f>
        <v>99.999999999999986</v>
      </c>
      <c r="E23" s="30">
        <f>B2 * (B8 ^ (1)) * (B9 ^ (2))</f>
        <v>96.201057710803752</v>
      </c>
      <c r="F23" s="30">
        <f>B2 * (B8 ^ (1)) * (B9 ^ (3))</f>
        <v>92.546435046773937</v>
      </c>
      <c r="G23" s="30">
        <f>B2 * (B8 ^ (1)) * (B9 ^ (4))</f>
        <v>89.030649388638523</v>
      </c>
      <c r="H23" s="30">
        <f>B2 * (B8 ^ (1)) * (B9 ^ (5))</f>
        <v>85.648426398667496</v>
      </c>
      <c r="I23" s="30">
        <f>B2 * (B8 ^ (1)) * (B9 ^ (6))</f>
        <v>82.394692108177395</v>
      </c>
      <c r="J23" s="30">
        <f>B2 * (B8 ^ (1)) * (B9 ^ (7))</f>
        <v>79.264565305626817</v>
      </c>
      <c r="K23" s="30">
        <f>B2 * (B8 ^ (1)) * (B9 ^ (8))</f>
        <v>76.253350213883792</v>
      </c>
      <c r="L23" s="31">
        <f>B2 * (B8 ^ (1)) * (B9 ^ (9))</f>
        <v>73.356529445679655</v>
      </c>
      <c r="M23" s="22"/>
      <c r="N23" s="22"/>
    </row>
    <row r="24" spans="1:14" x14ac:dyDescent="0.2">
      <c r="A24" s="22"/>
      <c r="B24" s="29">
        <f>B2 * (B8 ^ (0)) * (B9 ^ (0))</f>
        <v>100</v>
      </c>
      <c r="C24" s="30">
        <f>B2 * (B8 ^ (0)) * (B9 ^ (1))</f>
        <v>96.201057710803767</v>
      </c>
      <c r="D24" s="30">
        <f>B2 * (B8 ^ (0)) * (B9 ^ (2))</f>
        <v>92.546435046773951</v>
      </c>
      <c r="E24" s="30">
        <f>B2 * (B8 ^ (0)) * (B9 ^ (3))</f>
        <v>89.030649388638523</v>
      </c>
      <c r="F24" s="30">
        <f>B2 * (B8 ^ (0)) * (B9 ^ (4))</f>
        <v>85.64842639866751</v>
      </c>
      <c r="G24" s="30">
        <f>B2 * (B8 ^ (0)) * (B9 ^ (5))</f>
        <v>82.394692108177409</v>
      </c>
      <c r="H24" s="30">
        <f>B2 * (B8 ^ (0)) * (B9 ^ (6))</f>
        <v>79.264565305626817</v>
      </c>
      <c r="I24" s="30">
        <f>B2 * (B8 ^ (0)) * (B9 ^ (7))</f>
        <v>76.253350213883792</v>
      </c>
      <c r="J24" s="30">
        <f>B2 * (B8 ^ (0)) * (B9 ^ (8))</f>
        <v>73.356529445679655</v>
      </c>
      <c r="K24" s="30">
        <f>B2 * (B8 ^ (0)) * (B9 ^ (9))</f>
        <v>70.569757226681034</v>
      </c>
      <c r="L24" s="31">
        <f>B2 * (B8 ^ (0)) * (B9 ^ (10))</f>
        <v>67.88885287601353</v>
      </c>
      <c r="M24" s="22"/>
      <c r="N24" s="22"/>
    </row>
    <row r="25" spans="1:14" x14ac:dyDescent="0.2">
      <c r="A25" s="22"/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1"/>
      <c r="M25" s="22"/>
      <c r="N25" s="22"/>
    </row>
    <row r="26" spans="1:14" ht="13.5" thickBot="1" x14ac:dyDescent="0.25">
      <c r="A26" s="28"/>
      <c r="B26" s="32" t="s">
        <v>13</v>
      </c>
      <c r="C26" s="33" t="s">
        <v>14</v>
      </c>
      <c r="D26" s="33" t="s">
        <v>15</v>
      </c>
      <c r="E26" s="33" t="s">
        <v>16</v>
      </c>
      <c r="F26" s="33" t="s">
        <v>25</v>
      </c>
      <c r="G26" s="33" t="s">
        <v>26</v>
      </c>
      <c r="H26" s="33" t="s">
        <v>27</v>
      </c>
      <c r="I26" s="33" t="s">
        <v>28</v>
      </c>
      <c r="J26" s="33" t="s">
        <v>29</v>
      </c>
      <c r="K26" s="33" t="s">
        <v>30</v>
      </c>
      <c r="L26" s="34" t="s">
        <v>31</v>
      </c>
      <c r="M26" s="28"/>
      <c r="N26" s="28"/>
    </row>
    <row r="28" spans="1:14" ht="13.5" thickBot="1" x14ac:dyDescent="0.25"/>
    <row r="29" spans="1:14" ht="13.5" thickBot="1" x14ac:dyDescent="0.25">
      <c r="A29" s="22"/>
      <c r="B29" s="72" t="s">
        <v>32</v>
      </c>
      <c r="C29" s="74"/>
      <c r="D29" s="23"/>
      <c r="E29" s="23"/>
      <c r="F29" s="23"/>
      <c r="G29" s="23"/>
      <c r="H29" s="23"/>
      <c r="I29" s="23"/>
      <c r="J29" s="23"/>
      <c r="K29" s="23"/>
      <c r="L29" s="24"/>
      <c r="M29" s="22"/>
      <c r="N29" s="22"/>
    </row>
    <row r="30" spans="1:14" x14ac:dyDescent="0.2">
      <c r="A30" s="22"/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1">
        <f>$L$14</f>
        <v>147.29958713933712</v>
      </c>
      <c r="M30" s="22"/>
      <c r="N30" s="22"/>
    </row>
    <row r="31" spans="1:14" x14ac:dyDescent="0.2">
      <c r="A31" s="22"/>
      <c r="B31" s="29"/>
      <c r="C31" s="30"/>
      <c r="D31" s="30"/>
      <c r="E31" s="30"/>
      <c r="F31" s="30"/>
      <c r="G31" s="30"/>
      <c r="H31" s="30"/>
      <c r="I31" s="30"/>
      <c r="J31" s="30"/>
      <c r="K31" s="30">
        <f>($B$10 *$L$30 + $B$11 *$L$31)</f>
        <v>141.72738009337849</v>
      </c>
      <c r="L31" s="31">
        <f>$L$15</f>
        <v>136.32051673607288</v>
      </c>
      <c r="M31" s="22"/>
      <c r="N31" s="22"/>
    </row>
    <row r="32" spans="1:14" x14ac:dyDescent="0.2">
      <c r="A32" s="22"/>
      <c r="B32" s="29"/>
      <c r="C32" s="30"/>
      <c r="D32" s="30"/>
      <c r="E32" s="30"/>
      <c r="F32" s="30"/>
      <c r="G32" s="30"/>
      <c r="H32" s="30"/>
      <c r="I32" s="30"/>
      <c r="J32" s="30">
        <f>($B$10 *$K$31 + $B$11 *$K$32)</f>
        <v>136.3659644825218</v>
      </c>
      <c r="K32" s="30">
        <f>($B$10 *$L$31 + $B$11 *$L$32)</f>
        <v>131.16363776161296</v>
      </c>
      <c r="L32" s="31">
        <f>$L$16</f>
        <v>126.15977847657631</v>
      </c>
      <c r="M32" s="22"/>
      <c r="N32" s="22"/>
    </row>
    <row r="33" spans="1:14" x14ac:dyDescent="0.2">
      <c r="A33" s="22"/>
      <c r="B33" s="29"/>
      <c r="C33" s="30"/>
      <c r="D33" s="30"/>
      <c r="E33" s="30"/>
      <c r="F33" s="30"/>
      <c r="G33" s="30"/>
      <c r="H33" s="30"/>
      <c r="I33" s="30">
        <f>($B$10 *$J$32 + $B$11 *$J$33)</f>
        <v>131.20736626187863</v>
      </c>
      <c r="J33" s="30">
        <f>($B$10 *$K$32 + $B$11 *$K$33)</f>
        <v>126.20183874572389</v>
      </c>
      <c r="K33" s="30">
        <f>($B$10 *$L$32 + $B$11 *$L$33)</f>
        <v>121.38727082603702</v>
      </c>
      <c r="L33" s="31">
        <f>$L$17</f>
        <v>116.7563774429786</v>
      </c>
      <c r="M33" s="22"/>
      <c r="N33" s="22"/>
    </row>
    <row r="34" spans="1:14" x14ac:dyDescent="0.2">
      <c r="A34" s="22"/>
      <c r="B34" s="29"/>
      <c r="C34" s="30"/>
      <c r="D34" s="30"/>
      <c r="E34" s="30"/>
      <c r="F34" s="30"/>
      <c r="G34" s="30"/>
      <c r="H34" s="30">
        <f>($B$10 *$I$33 + $B$11 *$I$34)</f>
        <v>126.24391303729814</v>
      </c>
      <c r="I34" s="30">
        <f>($B$10 *$J$33 + $B$11 *$J$34)</f>
        <v>121.42773999413234</v>
      </c>
      <c r="J34" s="30">
        <f>($B$10 *$K$33 + $B$11 *$K$34)</f>
        <v>116.79530272264577</v>
      </c>
      <c r="K34" s="30">
        <f>($B$10 *$L$33 + $B$11 *$L$34)</f>
        <v>112.33959175006996</v>
      </c>
      <c r="L34" s="31">
        <f>$L$18</f>
        <v>108.05386501323244</v>
      </c>
      <c r="M34" s="22"/>
      <c r="N34" s="22"/>
    </row>
    <row r="35" spans="1:14" x14ac:dyDescent="0.2">
      <c r="A35" s="22"/>
      <c r="B35" s="29"/>
      <c r="C35" s="30"/>
      <c r="D35" s="30"/>
      <c r="E35" s="30"/>
      <c r="F35" s="30"/>
      <c r="G35" s="30">
        <f>($B$10 *$H$34 + $B$11 *$H$35)</f>
        <v>121.46822265419888</v>
      </c>
      <c r="H35" s="30">
        <f>($B$10 *$I$34 + $B$11 *$I$35)</f>
        <v>116.83424097956893</v>
      </c>
      <c r="I35" s="30">
        <f>($B$10 *$J$34 + $B$11 *$J$35)</f>
        <v>112.37704452243526</v>
      </c>
      <c r="J35" s="30">
        <f>($B$10 *$K$34 + $B$11 *$K$35)</f>
        <v>108.0898889718964</v>
      </c>
      <c r="K35" s="30">
        <f>($B$10 *$L$34 + $B$11 *$L$35)</f>
        <v>103.96628731078954</v>
      </c>
      <c r="L35" s="31">
        <f>$L$19</f>
        <v>99.999999999999972</v>
      </c>
      <c r="M35" s="22"/>
      <c r="N35" s="22"/>
    </row>
    <row r="36" spans="1:14" x14ac:dyDescent="0.2">
      <c r="A36" s="22"/>
      <c r="B36" s="29"/>
      <c r="C36" s="30"/>
      <c r="D36" s="30"/>
      <c r="E36" s="30"/>
      <c r="F36" s="30">
        <f>($B$10 *$G$35 + $B$11 *$G$36)</f>
        <v>116.87319221807455</v>
      </c>
      <c r="G36" s="30">
        <f>($B$10 *$H$35 + $B$11 *$H$36)</f>
        <v>112.41450978113895</v>
      </c>
      <c r="H36" s="30">
        <f>($B$10 *$I$35 + $B$11 *$I$36)</f>
        <v>108.12592494054813</v>
      </c>
      <c r="I36" s="30">
        <f>($B$10 *$J$35 + $B$11 *$J$36)</f>
        <v>104.00094851643979</v>
      </c>
      <c r="J36" s="30">
        <f>($B$10 *$K$35 + $B$11 *$K$36)</f>
        <v>100.03333888950618</v>
      </c>
      <c r="K36" s="30">
        <f>($B$10 *$L$35 + $B$11 *$L$36)</f>
        <v>96.217092556622234</v>
      </c>
      <c r="L36" s="31">
        <f>$L$20</f>
        <v>92.546435046773937</v>
      </c>
      <c r="M36" s="22"/>
      <c r="N36" s="22"/>
    </row>
    <row r="37" spans="1:14" x14ac:dyDescent="0.2">
      <c r="A37" s="22"/>
      <c r="B37" s="29"/>
      <c r="C37" s="30"/>
      <c r="D37" s="30"/>
      <c r="E37" s="30">
        <f>($B$10 *$F$36 + $B$11 *$F$37)</f>
        <v>112.45198753034384</v>
      </c>
      <c r="F37" s="30">
        <f>($B$10 *$G$36 + $B$11 *$G$37)</f>
        <v>108.16197292319164</v>
      </c>
      <c r="G37" s="30">
        <f>($B$10 *$H$36 + $B$11 *$H$37)</f>
        <v>104.0356212777511</v>
      </c>
      <c r="H37" s="30">
        <f>($B$10 *$I$36 + $B$11 *$I$37)</f>
        <v>100.06668889382794</v>
      </c>
      <c r="I37" s="30">
        <f>($B$10 *$J$36 + $B$11 *$J$37)</f>
        <v>96.249170266795772</v>
      </c>
      <c r="J37" s="30">
        <f>($B$10 *$K$36 + $B$11 *$K$37)</f>
        <v>92.577289000496123</v>
      </c>
      <c r="K37" s="30">
        <f>($B$10 *$L$36 + $B$11 *$L$37)</f>
        <v>89.045489066808784</v>
      </c>
      <c r="L37" s="31">
        <f>$L$21</f>
        <v>85.648426398667496</v>
      </c>
      <c r="M37" s="22"/>
      <c r="N37" s="22"/>
    </row>
    <row r="38" spans="1:14" x14ac:dyDescent="0.2">
      <c r="A38" s="22"/>
      <c r="B38" s="29"/>
      <c r="C38" s="30"/>
      <c r="D38" s="30">
        <f>($B$10 *$E$37 + $B$11 *$E$38)</f>
        <v>108.19803292383224</v>
      </c>
      <c r="E38" s="30">
        <f>($B$10 *$F$37 + $B$11 *$F$38)</f>
        <v>104.070305598576</v>
      </c>
      <c r="F38" s="30">
        <f>($B$10 *$G$37 + $B$11 *$G$38)</f>
        <v>100.10005001667079</v>
      </c>
      <c r="G38" s="30">
        <f>($B$10 *$H$37 + $B$11 *$H$38)</f>
        <v>96.28125867132168</v>
      </c>
      <c r="H38" s="30">
        <f>($B$10 *$I$37 + $B$11 *$I$38)</f>
        <v>92.608153240583846</v>
      </c>
      <c r="I38" s="30">
        <f>($B$10 *$J$37 + $B$11 *$J$38)</f>
        <v>89.075175844019043</v>
      </c>
      <c r="J38" s="30">
        <f>($B$10 *$K$37 + $B$11 *$K$38)</f>
        <v>85.676980632908368</v>
      </c>
      <c r="K38" s="30">
        <f>($B$10 *$L$37 + $B$11 *$L$38)</f>
        <v>82.408425701296409</v>
      </c>
      <c r="L38" s="31">
        <f>$L$22</f>
        <v>79.264565305626817</v>
      </c>
      <c r="M38" s="22"/>
      <c r="N38" s="22"/>
    </row>
    <row r="39" spans="1:14" x14ac:dyDescent="0.2">
      <c r="A39" s="22"/>
      <c r="B39" s="29"/>
      <c r="C39" s="30">
        <f>($B$10 *$D$38 + $B$11 *$D$39)</f>
        <v>104.1050014827683</v>
      </c>
      <c r="D39" s="30">
        <f>($B$10 *$E$38 + $B$11 *$E$39)</f>
        <v>100.13342226174152</v>
      </c>
      <c r="E39" s="30">
        <f>($B$10 *$F$38 + $B$11 *$F$39)</f>
        <v>96.313357773765318</v>
      </c>
      <c r="F39" s="30">
        <f>($B$10 *$G$38 + $B$11 *$G$39)</f>
        <v>92.63902777046647</v>
      </c>
      <c r="G39" s="30">
        <f>($B$10 *$H$38 + $B$11 *$H$39)</f>
        <v>89.10487251847114</v>
      </c>
      <c r="H39" s="30">
        <f>($B$10 *$I$38 + $B$11 *$I$39)</f>
        <v>85.705544386813841</v>
      </c>
      <c r="I39" s="30">
        <f>($B$10 *$J$38 + $B$11 *$J$39)</f>
        <v>82.435899755284765</v>
      </c>
      <c r="J39" s="30">
        <f>($B$10 *$K$38 + $B$11 *$K$39)</f>
        <v>79.290991231471651</v>
      </c>
      <c r="K39" s="30">
        <f>($B$10 *$L$38 + $B$11 *$L$39)</f>
        <v>76.266060164719249</v>
      </c>
      <c r="L39" s="31">
        <f>$L$23</f>
        <v>73.356529445679655</v>
      </c>
      <c r="M39" s="22"/>
      <c r="N39" s="22"/>
    </row>
    <row r="40" spans="1:14" x14ac:dyDescent="0.2">
      <c r="A40" s="22"/>
      <c r="B40" s="35">
        <f>($B$10 *$C$39 + $B$11 *$C$40)</f>
        <v>100.16680563274815</v>
      </c>
      <c r="C40" s="30">
        <f>($B$10 *$D$39 + $B$11 *$D$40)</f>
        <v>96.345467577693228</v>
      </c>
      <c r="D40" s="30">
        <f>($B$10 *$E$39 + $B$11 *$E$40)</f>
        <v>92.669912593574523</v>
      </c>
      <c r="E40" s="30">
        <f>($B$10 *$F$39 + $B$11 *$F$40)</f>
        <v>89.134579093464737</v>
      </c>
      <c r="F40" s="30">
        <f>($B$10 *$G$39 + $B$11 *$G$40)</f>
        <v>85.734117663557655</v>
      </c>
      <c r="G40" s="30">
        <f>($B$10 *$H$39 + $B$11 *$H$40)</f>
        <v>82.463382968817641</v>
      </c>
      <c r="H40" s="30">
        <f>($B$10 *$I$39 + $B$11 *$I$40)</f>
        <v>79.317425967426686</v>
      </c>
      <c r="I40" s="30">
        <f>($B$10 *$J$39 + $B$11 *$J$40)</f>
        <v>76.291486422248312</v>
      </c>
      <c r="J40" s="30">
        <f>($B$10 *$K$39 + $B$11 *$K$40)</f>
        <v>73.380985697977138</v>
      </c>
      <c r="K40" s="30">
        <f>($B$10 *$L$39 + $B$11 *$L$40)</f>
        <v>70.581519833075447</v>
      </c>
      <c r="L40" s="31">
        <f>$L$24</f>
        <v>67.88885287601353</v>
      </c>
      <c r="M40" s="22"/>
      <c r="N40" s="22"/>
    </row>
    <row r="41" spans="1:14" x14ac:dyDescent="0.2">
      <c r="A41" s="22"/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22"/>
      <c r="N41" s="22"/>
    </row>
    <row r="42" spans="1:14" ht="13.5" thickBot="1" x14ac:dyDescent="0.25">
      <c r="A42" s="28"/>
      <c r="B42" s="32" t="s">
        <v>13</v>
      </c>
      <c r="C42" s="33" t="s">
        <v>14</v>
      </c>
      <c r="D42" s="33" t="s">
        <v>15</v>
      </c>
      <c r="E42" s="33" t="s">
        <v>16</v>
      </c>
      <c r="F42" s="33" t="s">
        <v>25</v>
      </c>
      <c r="G42" s="33" t="s">
        <v>26</v>
      </c>
      <c r="H42" s="33" t="s">
        <v>27</v>
      </c>
      <c r="I42" s="33" t="s">
        <v>28</v>
      </c>
      <c r="J42" s="33" t="s">
        <v>29</v>
      </c>
      <c r="K42" s="33" t="s">
        <v>30</v>
      </c>
      <c r="L42" s="34" t="s">
        <v>31</v>
      </c>
      <c r="M42" s="28"/>
      <c r="N42" s="28"/>
    </row>
    <row r="44" spans="1:14" ht="13.5" thickBot="1" x14ac:dyDescent="0.25"/>
    <row r="45" spans="1:14" ht="13.5" thickBot="1" x14ac:dyDescent="0.25">
      <c r="A45" s="22"/>
      <c r="B45" s="72" t="s">
        <v>17</v>
      </c>
      <c r="C45" s="74"/>
      <c r="D45" s="23"/>
      <c r="E45" s="23"/>
      <c r="F45" s="23"/>
      <c r="G45" s="23"/>
      <c r="H45" s="23"/>
      <c r="I45" s="23"/>
      <c r="J45" s="23"/>
      <c r="K45" s="23"/>
      <c r="L45" s="24"/>
      <c r="M45" s="22"/>
      <c r="N45" s="22"/>
    </row>
    <row r="46" spans="1:14" x14ac:dyDescent="0.2">
      <c r="A46" s="22"/>
      <c r="B46" s="29"/>
      <c r="C46" s="30"/>
      <c r="D46" s="30"/>
      <c r="E46" s="30"/>
      <c r="F46" s="30"/>
      <c r="G46" s="30"/>
      <c r="H46" s="30"/>
      <c r="I46" s="30"/>
      <c r="J46" s="30"/>
      <c r="K46" s="30"/>
      <c r="L46" s="31">
        <f>MAX($J$2*( L30-$J$3), 0)</f>
        <v>37.29958713933712</v>
      </c>
      <c r="M46" s="22"/>
      <c r="N46" s="22"/>
    </row>
    <row r="47" spans="1:14" x14ac:dyDescent="0.2">
      <c r="A47" s="22"/>
      <c r="B47" s="29"/>
      <c r="C47" s="30"/>
      <c r="D47" s="30"/>
      <c r="E47" s="30"/>
      <c r="F47" s="30"/>
      <c r="G47" s="30"/>
      <c r="H47" s="30"/>
      <c r="I47" s="30"/>
      <c r="J47" s="30"/>
      <c r="K47" s="30">
        <f>EXP(-$B$6 * $B$3/$B$5) * ($B$10 *$L$46 + $B$11 *$L$47)</f>
        <v>31.71680606245042</v>
      </c>
      <c r="L47" s="31">
        <f t="shared" ref="L47:L53" si="0">MAX($J$2*( L31-$J$3), 0)</f>
        <v>26.320516736072875</v>
      </c>
      <c r="M47" s="22"/>
      <c r="N47" s="22"/>
    </row>
    <row r="48" spans="1:14" x14ac:dyDescent="0.2">
      <c r="A48" s="22"/>
      <c r="B48" s="29"/>
      <c r="C48" s="30"/>
      <c r="D48" s="30"/>
      <c r="E48" s="30"/>
      <c r="F48" s="30"/>
      <c r="G48" s="30"/>
      <c r="H48" s="30"/>
      <c r="I48" s="30"/>
      <c r="J48" s="30">
        <f>EXP(-$B$6 * $B$3/$B$5) * ($B$10 *$K$47 + $B$11 *$K$48)</f>
        <v>26.34839303066822</v>
      </c>
      <c r="K48" s="30">
        <f>EXP(-$B$6 * $B$3/$B$5) * ($B$10 *$L$47 + $B$11 *$L$48)</f>
        <v>21.15658439131947</v>
      </c>
      <c r="L48" s="31">
        <f t="shared" si="0"/>
        <v>16.159778476576307</v>
      </c>
      <c r="M48" s="22"/>
      <c r="N48" s="22"/>
    </row>
    <row r="49" spans="1:14" x14ac:dyDescent="0.2">
      <c r="A49" s="22"/>
      <c r="B49" s="29"/>
      <c r="C49" s="30"/>
      <c r="D49" s="30"/>
      <c r="E49" s="30"/>
      <c r="F49" s="30"/>
      <c r="G49" s="30"/>
      <c r="H49" s="30"/>
      <c r="I49" s="30">
        <f>EXP(-$B$6 * $B$3/$B$5) * ($B$10 *$J$48 + $B$11 *$J$49)</f>
        <v>21.186169495766244</v>
      </c>
      <c r="J49" s="30">
        <f>EXP(-$B$6 * $B$3/$B$5) * ($B$10 *$K$48 + $B$11 *$K$49)</f>
        <v>16.191041119502085</v>
      </c>
      <c r="K49" s="30">
        <f>EXP(-$B$6 * $B$3/$B$5) * ($B$10 *$L$48 + $B$11 *$L$49)</f>
        <v>11.383475701650898</v>
      </c>
      <c r="L49" s="31">
        <f t="shared" si="0"/>
        <v>6.7563774429786037</v>
      </c>
      <c r="M49" s="22"/>
      <c r="N49" s="22"/>
    </row>
    <row r="50" spans="1:14" x14ac:dyDescent="0.2">
      <c r="A50" s="22"/>
      <c r="B50" s="29"/>
      <c r="C50" s="30"/>
      <c r="D50" s="30"/>
      <c r="E50" s="30"/>
      <c r="F50" s="30"/>
      <c r="G50" s="30"/>
      <c r="H50" s="30">
        <f>EXP(-$B$6 * $B$3/$B$5) * ($B$10 *$I$49 + $B$11 *$I$50)</f>
        <v>16.351224636443231</v>
      </c>
      <c r="I50" s="30">
        <f>EXP(-$B$6 * $B$3/$B$5) * ($B$10 *$J$49 + $B$11 *$J$50)</f>
        <v>11.670487616201905</v>
      </c>
      <c r="J50" s="30">
        <f>EXP(-$B$6 * $B$3/$B$5) * ($B$10 *$K$49 + $B$11 *$K$50)</f>
        <v>7.2917383337518356</v>
      </c>
      <c r="K50" s="30">
        <f>EXP(-$B$6 * $B$3/$B$5) * ($B$10 *$L$49 + $B$11 *$L$50)</f>
        <v>3.3262046216983947</v>
      </c>
      <c r="L50" s="31">
        <f t="shared" si="0"/>
        <v>0</v>
      </c>
      <c r="M50" s="22"/>
      <c r="N50" s="22"/>
    </row>
    <row r="51" spans="1:14" x14ac:dyDescent="0.2">
      <c r="A51" s="22"/>
      <c r="B51" s="29"/>
      <c r="C51" s="30"/>
      <c r="D51" s="30"/>
      <c r="E51" s="30"/>
      <c r="F51" s="30"/>
      <c r="G51" s="30">
        <f>EXP(-$B$6 * $B$3/$B$5) * ($B$10 *$H$50 + $B$11 *$H$51)</f>
        <v>12.10274299925128</v>
      </c>
      <c r="H51" s="30">
        <f>EXP(-$B$6 * $B$3/$B$5) * ($B$10 *$I$50 + $B$11 *$I$51)</f>
        <v>7.9882763566442625</v>
      </c>
      <c r="I51" s="30">
        <f>EXP(-$B$6 * $B$3/$B$5) * ($B$10 *$J$50 + $B$11 *$J$51)</f>
        <v>4.4205744604220429</v>
      </c>
      <c r="J51" s="30">
        <f>EXP(-$B$6 * $B$3/$B$5) * ($B$10 *$K$50 + $B$11 *$K$51)</f>
        <v>1.6375102307088201</v>
      </c>
      <c r="K51" s="30">
        <f>EXP(-$B$6 * $B$3/$B$5) * ($B$10 *$L$50 + $B$11 *$L$51)</f>
        <v>0</v>
      </c>
      <c r="L51" s="31">
        <f t="shared" si="0"/>
        <v>0</v>
      </c>
      <c r="M51" s="22"/>
      <c r="N51" s="22"/>
    </row>
    <row r="52" spans="1:14" x14ac:dyDescent="0.2">
      <c r="A52" s="22"/>
      <c r="B52" s="29"/>
      <c r="C52" s="30"/>
      <c r="D52" s="30"/>
      <c r="E52" s="30"/>
      <c r="F52" s="30">
        <f>EXP(-$B$6 * $B$3/$B$5) * ($B$10 *$G$51 + $B$11 *$G$52)</f>
        <v>8.6190291501239358</v>
      </c>
      <c r="G52" s="30">
        <f>EXP(-$B$6 * $B$3/$B$5) * ($B$10 *$H$51 + $B$11 *$H$52)</f>
        <v>5.2443489974675144</v>
      </c>
      <c r="H52" s="30">
        <f>EXP(-$B$6 * $B$3/$B$5) * ($B$10 *$I$51 + $B$11 *$I$52)</f>
        <v>2.5852869274817354</v>
      </c>
      <c r="I52" s="30">
        <f>EXP(-$B$6 * $B$3/$B$5) * ($B$10 *$J$51 + $B$11 *$J$52)</f>
        <v>0.80615598276298528</v>
      </c>
      <c r="J52" s="30">
        <f>EXP(-$B$6 * $B$3/$B$5) * ($B$10 *$K$51 + $B$11 *$K$52)</f>
        <v>0</v>
      </c>
      <c r="K52" s="30">
        <f>EXP(-$B$6 * $B$3/$B$5) * ($B$10 *$L$51 + $B$11 *$L$52)</f>
        <v>0</v>
      </c>
      <c r="L52" s="31">
        <f t="shared" si="0"/>
        <v>0</v>
      </c>
      <c r="M52" s="22"/>
      <c r="N52" s="22"/>
    </row>
    <row r="53" spans="1:14" x14ac:dyDescent="0.2">
      <c r="A53" s="22"/>
      <c r="B53" s="29"/>
      <c r="C53" s="30"/>
      <c r="D53" s="30"/>
      <c r="E53" s="30">
        <f>EXP(-$B$6 * $B$3/$B$5) * ($B$10 *$F$52 + $B$11 *$F$53)</f>
        <v>5.9325736855333755</v>
      </c>
      <c r="F53" s="30">
        <f>EXP(-$B$6 * $B$3/$B$5) * ($B$10 *$G$52 + $B$11 *$G$53)</f>
        <v>3.329730235433507</v>
      </c>
      <c r="G53" s="30">
        <f>EXP(-$B$6 * $B$3/$B$5) * ($B$10 *$H$52 + $B$11 *$H$53)</f>
        <v>1.4741110650962053</v>
      </c>
      <c r="H53" s="30">
        <f>EXP(-$B$6 * $B$3/$B$5) * ($B$10 *$I$52 + $B$11 *$I$53)</f>
        <v>0.39687536380352351</v>
      </c>
      <c r="I53" s="30">
        <f>EXP(-$B$6 * $B$3/$B$5) * ($B$10 *$J$52 + $B$11 *$J$53)</f>
        <v>0</v>
      </c>
      <c r="J53" s="30">
        <f>EXP(-$B$6 * $B$3/$B$5) * ($B$10 *$K$52 + $B$11 *$K$53)</f>
        <v>0</v>
      </c>
      <c r="K53" s="30">
        <f>EXP(-$B$6 * $B$3/$B$5) * ($B$10 *$L$52 + $B$11 *$L$53)</f>
        <v>0</v>
      </c>
      <c r="L53" s="31">
        <f t="shared" si="0"/>
        <v>0</v>
      </c>
      <c r="M53" s="22"/>
      <c r="N53" s="22"/>
    </row>
    <row r="54" spans="1:14" x14ac:dyDescent="0.2">
      <c r="A54" s="22"/>
      <c r="B54" s="29"/>
      <c r="C54" s="30"/>
      <c r="D54" s="30">
        <f>EXP(-$B$6 * $B$3/$B$5) * ($B$10 *$E$53 + $B$11 *$E$54)</f>
        <v>3.9646574335910638</v>
      </c>
      <c r="E54" s="30">
        <f>EXP(-$B$6 * $B$3/$B$5) * ($B$10 *$F$53 + $B$11 *$F$54)</f>
        <v>2.0577393400901141</v>
      </c>
      <c r="F54" s="30">
        <f>EXP(-$B$6 * $B$3/$B$5) * ($B$10 *$G$53 + $B$11 *$G$54)</f>
        <v>0.82484383520667937</v>
      </c>
      <c r="G54" s="30">
        <f>EXP(-$B$6 * $B$3/$B$5) * ($B$10 *$H$53 + $B$11 *$H$54)</f>
        <v>0.19538409161752515</v>
      </c>
      <c r="H54" s="30">
        <f>EXP(-$B$6 * $B$3/$B$5) * ($B$10 *$I$53 + $B$11 *$I$54)</f>
        <v>0</v>
      </c>
      <c r="I54" s="30">
        <f>EXP(-$B$6 * $B$3/$B$5) * ($B$10 *$J$53 + $B$11 *$J$54)</f>
        <v>0</v>
      </c>
      <c r="J54" s="30">
        <f>EXP(-$B$6 * $B$3/$B$5) * ($B$10 *$K$53 + $B$11 *$K$54)</f>
        <v>0</v>
      </c>
      <c r="K54" s="30">
        <f>EXP(-$B$6 * $B$3/$B$5) * ($B$10 *$L$53 + $B$11 *$L$54)</f>
        <v>0</v>
      </c>
      <c r="L54" s="31">
        <f>MAX($J$2*( L38-$J$3), 0)</f>
        <v>0</v>
      </c>
      <c r="M54" s="22"/>
      <c r="N54" s="22"/>
    </row>
    <row r="55" spans="1:14" x14ac:dyDescent="0.2">
      <c r="A55" s="22"/>
      <c r="B55" s="29"/>
      <c r="C55" s="30">
        <f>EXP(-$B$6 * $B$3/$B$5) * ($B$10 *$D$54 + $B$11 *$D$55)</f>
        <v>2.5828921142479988</v>
      </c>
      <c r="D55" s="30">
        <f>EXP(-$B$6 * $B$3/$B$5) * ($B$10 *$E$54 + $B$11 *$E$55)</f>
        <v>1.2438244788182085</v>
      </c>
      <c r="E55" s="30">
        <f>EXP(-$B$6 * $B$3/$B$5) * ($B$10 *$F$54 + $B$11 *$F$55)</f>
        <v>0.45487790303745368</v>
      </c>
      <c r="F55" s="30">
        <f>EXP(-$B$6 * $B$3/$B$5) * ($B$10 *$G$54 + $B$11 *$G$55)</f>
        <v>9.6188745230616754E-2</v>
      </c>
      <c r="G55" s="30">
        <f>EXP(-$B$6 * $B$3/$B$5) * ($B$10 *$H$54 + $B$11 *$H$55)</f>
        <v>0</v>
      </c>
      <c r="H55" s="30">
        <f>EXP(-$B$6 * $B$3/$B$5) * ($B$10 *$I$54 + $B$11 *$I$55)</f>
        <v>0</v>
      </c>
      <c r="I55" s="30">
        <f>EXP(-$B$6 * $B$3/$B$5) * ($B$10 *$J$54 + $B$11 *$J$55)</f>
        <v>0</v>
      </c>
      <c r="J55" s="30">
        <f>EXP(-$B$6 * $B$3/$B$5) * ($B$10 *$K$54 + $B$11 *$K$55)</f>
        <v>0</v>
      </c>
      <c r="K55" s="30">
        <f>EXP(-$B$6 * $B$3/$B$5) * ($B$10 *$L$54 + $B$11 *$L$55)</f>
        <v>0</v>
      </c>
      <c r="L55" s="31">
        <f>MAX($J$2*( L39-$J$3), 0)</f>
        <v>0</v>
      </c>
      <c r="M55" s="22"/>
      <c r="N55" s="22"/>
    </row>
    <row r="56" spans="1:14" x14ac:dyDescent="0.2">
      <c r="A56" s="22"/>
      <c r="B56" s="25">
        <f>EXP(-$B$6 * $B$3/$B$5) * ($B$10 *$C$55 + $B$11 *$C$56)</f>
        <v>1.6460813419389992</v>
      </c>
      <c r="C56" s="30">
        <f>EXP(-$B$6 * $B$3/$B$5) * ($B$10 *$D$55 + $B$11 *$D$56)</f>
        <v>0.73814977299052453</v>
      </c>
      <c r="D56" s="30">
        <f>EXP(-$B$6 * $B$3/$B$5) * ($B$10 *$E$55 + $B$11 *$E$56)</f>
        <v>0.24796479504506178</v>
      </c>
      <c r="E56" s="30">
        <f>EXP(-$B$6 * $B$3/$B$5) * ($B$10 *$F$55 + $B$11 *$F$56)</f>
        <v>4.7354288839197414E-2</v>
      </c>
      <c r="F56" s="30">
        <f>EXP(-$B$6 * $B$3/$B$5) * ($B$10 *$G$55 + $B$11 *$G$56)</f>
        <v>0</v>
      </c>
      <c r="G56" s="30">
        <f>EXP(-$B$6 * $B$3/$B$5) * ($B$10 *$H$55 + $B$11 *$H$56)</f>
        <v>0</v>
      </c>
      <c r="H56" s="30">
        <f>EXP(-$B$6 * $B$3/$B$5) * ($B$10 *$I$55 + $B$11 *$I$56)</f>
        <v>0</v>
      </c>
      <c r="I56" s="30">
        <f>EXP(-$B$6 * $B$3/$B$5) * ($B$10 *$J$55 + $B$11 *$J$56)</f>
        <v>0</v>
      </c>
      <c r="J56" s="30">
        <f>EXP(-$B$6 * $B$3/$B$5) * ($B$10 *$K$55 + $B$11 *$K$56)</f>
        <v>0</v>
      </c>
      <c r="K56" s="30">
        <f>EXP(-$B$6 * $B$3/$B$5) * ($B$10 *$L$55 + $B$11 *$L$56)</f>
        <v>0</v>
      </c>
      <c r="L56" s="31">
        <f>MAX($J$2*( L40-$J$3), 0)</f>
        <v>0</v>
      </c>
      <c r="M56" s="22"/>
      <c r="N56" s="22"/>
    </row>
    <row r="57" spans="1:14" x14ac:dyDescent="0.2">
      <c r="A57" s="22"/>
      <c r="B57" s="29"/>
      <c r="C57" s="30"/>
      <c r="D57" s="30"/>
      <c r="E57" s="30"/>
      <c r="F57" s="30"/>
      <c r="G57" s="30"/>
      <c r="H57" s="30"/>
      <c r="I57" s="30"/>
      <c r="J57" s="30"/>
      <c r="K57" s="30"/>
      <c r="L57" s="31"/>
      <c r="M57" s="22"/>
      <c r="N57" s="22"/>
    </row>
    <row r="58" spans="1:14" ht="13.5" thickBot="1" x14ac:dyDescent="0.25">
      <c r="A58" s="28"/>
      <c r="B58" s="32" t="s">
        <v>13</v>
      </c>
      <c r="C58" s="33" t="s">
        <v>14</v>
      </c>
      <c r="D58" s="33" t="s">
        <v>15</v>
      </c>
      <c r="E58" s="33" t="s">
        <v>16</v>
      </c>
      <c r="F58" s="33" t="s">
        <v>25</v>
      </c>
      <c r="G58" s="33" t="s">
        <v>26</v>
      </c>
      <c r="H58" s="33" t="s">
        <v>27</v>
      </c>
      <c r="I58" s="33" t="s">
        <v>28</v>
      </c>
      <c r="J58" s="33" t="s">
        <v>29</v>
      </c>
      <c r="K58" s="33" t="s">
        <v>30</v>
      </c>
      <c r="L58" s="34" t="s">
        <v>31</v>
      </c>
      <c r="M58" s="28"/>
      <c r="N58" s="28"/>
    </row>
  </sheetData>
  <dataConsolidate/>
  <mergeCells count="6">
    <mergeCell ref="B45:C45"/>
    <mergeCell ref="A1:B1"/>
    <mergeCell ref="E1:F1"/>
    <mergeCell ref="I1:J1"/>
    <mergeCell ref="B13:C13"/>
    <mergeCell ref="B29:C29"/>
  </mergeCells>
  <dataValidations count="2">
    <dataValidation type="list" allowBlank="1" showInputMessage="1" showErrorMessage="1" sqref="J5 H5">
      <formula1>"European, American"</formula1>
    </dataValidation>
    <dataValidation type="list" allowBlank="1" showInputMessage="1" showErrorMessage="1" sqref="J2">
      <formula1>"1, -1"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1"/>
  <sheetViews>
    <sheetView showGridLines="0" topLeftCell="A29" workbookViewId="0">
      <selection activeCell="P48" sqref="P48"/>
    </sheetView>
  </sheetViews>
  <sheetFormatPr baseColWidth="10" defaultColWidth="9.140625" defaultRowHeight="12.75" x14ac:dyDescent="0.2"/>
  <cols>
    <col min="1" max="5" width="9.140625" style="49"/>
    <col min="6" max="6" width="9.28515625" style="49" customWidth="1"/>
    <col min="7" max="7" width="8.28515625" style="49" bestFit="1" customWidth="1"/>
    <col min="8" max="262" width="9.140625" style="49"/>
    <col min="263" max="263" width="8.28515625" style="49" bestFit="1" customWidth="1"/>
    <col min="264" max="518" width="9.140625" style="49"/>
    <col min="519" max="519" width="8.28515625" style="49" bestFit="1" customWidth="1"/>
    <col min="520" max="774" width="9.140625" style="49"/>
    <col min="775" max="775" width="8.28515625" style="49" bestFit="1" customWidth="1"/>
    <col min="776" max="1030" width="9.140625" style="49"/>
    <col min="1031" max="1031" width="8.28515625" style="49" bestFit="1" customWidth="1"/>
    <col min="1032" max="1286" width="9.140625" style="49"/>
    <col min="1287" max="1287" width="8.28515625" style="49" bestFit="1" customWidth="1"/>
    <col min="1288" max="1542" width="9.140625" style="49"/>
    <col min="1543" max="1543" width="8.28515625" style="49" bestFit="1" customWidth="1"/>
    <col min="1544" max="1798" width="9.140625" style="49"/>
    <col min="1799" max="1799" width="8.28515625" style="49" bestFit="1" customWidth="1"/>
    <col min="1800" max="2054" width="9.140625" style="49"/>
    <col min="2055" max="2055" width="8.28515625" style="49" bestFit="1" customWidth="1"/>
    <col min="2056" max="2310" width="9.140625" style="49"/>
    <col min="2311" max="2311" width="8.28515625" style="49" bestFit="1" customWidth="1"/>
    <col min="2312" max="2566" width="9.140625" style="49"/>
    <col min="2567" max="2567" width="8.28515625" style="49" bestFit="1" customWidth="1"/>
    <col min="2568" max="2822" width="9.140625" style="49"/>
    <col min="2823" max="2823" width="8.28515625" style="49" bestFit="1" customWidth="1"/>
    <col min="2824" max="3078" width="9.140625" style="49"/>
    <col min="3079" max="3079" width="8.28515625" style="49" bestFit="1" customWidth="1"/>
    <col min="3080" max="3334" width="9.140625" style="49"/>
    <col min="3335" max="3335" width="8.28515625" style="49" bestFit="1" customWidth="1"/>
    <col min="3336" max="3590" width="9.140625" style="49"/>
    <col min="3591" max="3591" width="8.28515625" style="49" bestFit="1" customWidth="1"/>
    <col min="3592" max="3846" width="9.140625" style="49"/>
    <col min="3847" max="3847" width="8.28515625" style="49" bestFit="1" customWidth="1"/>
    <col min="3848" max="4102" width="9.140625" style="49"/>
    <col min="4103" max="4103" width="8.28515625" style="49" bestFit="1" customWidth="1"/>
    <col min="4104" max="4358" width="9.140625" style="49"/>
    <col min="4359" max="4359" width="8.28515625" style="49" bestFit="1" customWidth="1"/>
    <col min="4360" max="4614" width="9.140625" style="49"/>
    <col min="4615" max="4615" width="8.28515625" style="49" bestFit="1" customWidth="1"/>
    <col min="4616" max="4870" width="9.140625" style="49"/>
    <col min="4871" max="4871" width="8.28515625" style="49" bestFit="1" customWidth="1"/>
    <col min="4872" max="5126" width="9.140625" style="49"/>
    <col min="5127" max="5127" width="8.28515625" style="49" bestFit="1" customWidth="1"/>
    <col min="5128" max="5382" width="9.140625" style="49"/>
    <col min="5383" max="5383" width="8.28515625" style="49" bestFit="1" customWidth="1"/>
    <col min="5384" max="5638" width="9.140625" style="49"/>
    <col min="5639" max="5639" width="8.28515625" style="49" bestFit="1" customWidth="1"/>
    <col min="5640" max="5894" width="9.140625" style="49"/>
    <col min="5895" max="5895" width="8.28515625" style="49" bestFit="1" customWidth="1"/>
    <col min="5896" max="6150" width="9.140625" style="49"/>
    <col min="6151" max="6151" width="8.28515625" style="49" bestFit="1" customWidth="1"/>
    <col min="6152" max="6406" width="9.140625" style="49"/>
    <col min="6407" max="6407" width="8.28515625" style="49" bestFit="1" customWidth="1"/>
    <col min="6408" max="6662" width="9.140625" style="49"/>
    <col min="6663" max="6663" width="8.28515625" style="49" bestFit="1" customWidth="1"/>
    <col min="6664" max="6918" width="9.140625" style="49"/>
    <col min="6919" max="6919" width="8.28515625" style="49" bestFit="1" customWidth="1"/>
    <col min="6920" max="7174" width="9.140625" style="49"/>
    <col min="7175" max="7175" width="8.28515625" style="49" bestFit="1" customWidth="1"/>
    <col min="7176" max="7430" width="9.140625" style="49"/>
    <col min="7431" max="7431" width="8.28515625" style="49" bestFit="1" customWidth="1"/>
    <col min="7432" max="7686" width="9.140625" style="49"/>
    <col min="7687" max="7687" width="8.28515625" style="49" bestFit="1" customWidth="1"/>
    <col min="7688" max="7942" width="9.140625" style="49"/>
    <col min="7943" max="7943" width="8.28515625" style="49" bestFit="1" customWidth="1"/>
    <col min="7944" max="8198" width="9.140625" style="49"/>
    <col min="8199" max="8199" width="8.28515625" style="49" bestFit="1" customWidth="1"/>
    <col min="8200" max="8454" width="9.140625" style="49"/>
    <col min="8455" max="8455" width="8.28515625" style="49" bestFit="1" customWidth="1"/>
    <col min="8456" max="8710" width="9.140625" style="49"/>
    <col min="8711" max="8711" width="8.28515625" style="49" bestFit="1" customWidth="1"/>
    <col min="8712" max="8966" width="9.140625" style="49"/>
    <col min="8967" max="8967" width="8.28515625" style="49" bestFit="1" customWidth="1"/>
    <col min="8968" max="9222" width="9.140625" style="49"/>
    <col min="9223" max="9223" width="8.28515625" style="49" bestFit="1" customWidth="1"/>
    <col min="9224" max="9478" width="9.140625" style="49"/>
    <col min="9479" max="9479" width="8.28515625" style="49" bestFit="1" customWidth="1"/>
    <col min="9480" max="9734" width="9.140625" style="49"/>
    <col min="9735" max="9735" width="8.28515625" style="49" bestFit="1" customWidth="1"/>
    <col min="9736" max="9990" width="9.140625" style="49"/>
    <col min="9991" max="9991" width="8.28515625" style="49" bestFit="1" customWidth="1"/>
    <col min="9992" max="10246" width="9.140625" style="49"/>
    <col min="10247" max="10247" width="8.28515625" style="49" bestFit="1" customWidth="1"/>
    <col min="10248" max="10502" width="9.140625" style="49"/>
    <col min="10503" max="10503" width="8.28515625" style="49" bestFit="1" customWidth="1"/>
    <col min="10504" max="10758" width="9.140625" style="49"/>
    <col min="10759" max="10759" width="8.28515625" style="49" bestFit="1" customWidth="1"/>
    <col min="10760" max="11014" width="9.140625" style="49"/>
    <col min="11015" max="11015" width="8.28515625" style="49" bestFit="1" customWidth="1"/>
    <col min="11016" max="11270" width="9.140625" style="49"/>
    <col min="11271" max="11271" width="8.28515625" style="49" bestFit="1" customWidth="1"/>
    <col min="11272" max="11526" width="9.140625" style="49"/>
    <col min="11527" max="11527" width="8.28515625" style="49" bestFit="1" customWidth="1"/>
    <col min="11528" max="11782" width="9.140625" style="49"/>
    <col min="11783" max="11783" width="8.28515625" style="49" bestFit="1" customWidth="1"/>
    <col min="11784" max="12038" width="9.140625" style="49"/>
    <col min="12039" max="12039" width="8.28515625" style="49" bestFit="1" customWidth="1"/>
    <col min="12040" max="12294" width="9.140625" style="49"/>
    <col min="12295" max="12295" width="8.28515625" style="49" bestFit="1" customWidth="1"/>
    <col min="12296" max="12550" width="9.140625" style="49"/>
    <col min="12551" max="12551" width="8.28515625" style="49" bestFit="1" customWidth="1"/>
    <col min="12552" max="12806" width="9.140625" style="49"/>
    <col min="12807" max="12807" width="8.28515625" style="49" bestFit="1" customWidth="1"/>
    <col min="12808" max="13062" width="9.140625" style="49"/>
    <col min="13063" max="13063" width="8.28515625" style="49" bestFit="1" customWidth="1"/>
    <col min="13064" max="13318" width="9.140625" style="49"/>
    <col min="13319" max="13319" width="8.28515625" style="49" bestFit="1" customWidth="1"/>
    <col min="13320" max="13574" width="9.140625" style="49"/>
    <col min="13575" max="13575" width="8.28515625" style="49" bestFit="1" customWidth="1"/>
    <col min="13576" max="13830" width="9.140625" style="49"/>
    <col min="13831" max="13831" width="8.28515625" style="49" bestFit="1" customWidth="1"/>
    <col min="13832" max="14086" width="9.140625" style="49"/>
    <col min="14087" max="14087" width="8.28515625" style="49" bestFit="1" customWidth="1"/>
    <col min="14088" max="14342" width="9.140625" style="49"/>
    <col min="14343" max="14343" width="8.28515625" style="49" bestFit="1" customWidth="1"/>
    <col min="14344" max="14598" width="9.140625" style="49"/>
    <col min="14599" max="14599" width="8.28515625" style="49" bestFit="1" customWidth="1"/>
    <col min="14600" max="14854" width="9.140625" style="49"/>
    <col min="14855" max="14855" width="8.28515625" style="49" bestFit="1" customWidth="1"/>
    <col min="14856" max="15110" width="9.140625" style="49"/>
    <col min="15111" max="15111" width="8.28515625" style="49" bestFit="1" customWidth="1"/>
    <col min="15112" max="15366" width="9.140625" style="49"/>
    <col min="15367" max="15367" width="8.28515625" style="49" bestFit="1" customWidth="1"/>
    <col min="15368" max="15622" width="9.140625" style="49"/>
    <col min="15623" max="15623" width="8.28515625" style="49" bestFit="1" customWidth="1"/>
    <col min="15624" max="15878" width="9.140625" style="49"/>
    <col min="15879" max="15879" width="8.28515625" style="49" bestFit="1" customWidth="1"/>
    <col min="15880" max="16134" width="9.140625" style="49"/>
    <col min="16135" max="16135" width="8.28515625" style="49" bestFit="1" customWidth="1"/>
    <col min="16136" max="16384" width="9.140625" style="49"/>
  </cols>
  <sheetData>
    <row r="1" spans="1:17" ht="13.5" thickBot="1" x14ac:dyDescent="0.25">
      <c r="A1" s="75" t="s">
        <v>0</v>
      </c>
      <c r="B1" s="76"/>
      <c r="F1" s="75" t="s">
        <v>1</v>
      </c>
      <c r="G1" s="76"/>
    </row>
    <row r="2" spans="1:17" x14ac:dyDescent="0.2">
      <c r="A2" s="3" t="s">
        <v>2</v>
      </c>
      <c r="B2" s="4">
        <v>100</v>
      </c>
      <c r="F2" s="50" t="s">
        <v>20</v>
      </c>
      <c r="G2" s="42">
        <v>1</v>
      </c>
    </row>
    <row r="3" spans="1:17" ht="15.75" thickBot="1" x14ac:dyDescent="0.3">
      <c r="A3" s="7" t="s">
        <v>4</v>
      </c>
      <c r="B3" s="8">
        <v>0.25</v>
      </c>
      <c r="F3" s="51" t="s">
        <v>3</v>
      </c>
      <c r="G3" s="52">
        <v>110</v>
      </c>
    </row>
    <row r="4" spans="1:17" ht="15" x14ac:dyDescent="0.25">
      <c r="A4" s="7" t="s">
        <v>5</v>
      </c>
      <c r="B4" s="10">
        <v>0.3</v>
      </c>
    </row>
    <row r="5" spans="1:17" x14ac:dyDescent="0.2">
      <c r="A5" s="7" t="s">
        <v>6</v>
      </c>
      <c r="B5" s="11">
        <v>15</v>
      </c>
    </row>
    <row r="6" spans="1:17" ht="15" x14ac:dyDescent="0.25">
      <c r="A6" s="7" t="s">
        <v>23</v>
      </c>
      <c r="B6" s="46">
        <v>0.02</v>
      </c>
    </row>
    <row r="7" spans="1:17" ht="15.75" thickBot="1" x14ac:dyDescent="0.3">
      <c r="A7" s="47" t="s">
        <v>24</v>
      </c>
      <c r="B7" s="48">
        <v>0.01</v>
      </c>
    </row>
    <row r="8" spans="1:17" x14ac:dyDescent="0.2">
      <c r="A8" s="13" t="s">
        <v>8</v>
      </c>
      <c r="B8" s="14">
        <f>EXP(B4*SQRT(B3/B5))</f>
        <v>1.0394896104013376</v>
      </c>
    </row>
    <row r="9" spans="1:17" x14ac:dyDescent="0.2">
      <c r="A9" s="15" t="s">
        <v>9</v>
      </c>
      <c r="B9" s="16">
        <f>1/B8</f>
        <v>0.96201057710803761</v>
      </c>
    </row>
    <row r="10" spans="1:17" x14ac:dyDescent="0.2">
      <c r="A10" s="15" t="s">
        <v>10</v>
      </c>
      <c r="B10" s="18">
        <f>(EXP((B6 - B7) * B3/B5) - B9) / (B8 - B9)</f>
        <v>0.49247005062451049</v>
      </c>
    </row>
    <row r="11" spans="1:17" ht="13.5" thickBot="1" x14ac:dyDescent="0.25">
      <c r="A11" s="19" t="s">
        <v>11</v>
      </c>
      <c r="B11" s="20">
        <f>1 - B10</f>
        <v>0.50752994937548945</v>
      </c>
    </row>
    <row r="12" spans="1:17" ht="10.5" customHeight="1" x14ac:dyDescent="0.2"/>
    <row r="13" spans="1:17" hidden="1" x14ac:dyDescent="0.2"/>
    <row r="15" spans="1:17" x14ac:dyDescent="0.2">
      <c r="B15" s="54">
        <v>0</v>
      </c>
      <c r="C15" s="54">
        <v>1</v>
      </c>
      <c r="D15" s="54">
        <v>2</v>
      </c>
      <c r="E15" s="54">
        <v>3</v>
      </c>
      <c r="F15" s="54">
        <v>4</v>
      </c>
      <c r="G15" s="54">
        <v>5</v>
      </c>
      <c r="H15" s="54">
        <v>6</v>
      </c>
      <c r="I15" s="54">
        <v>7</v>
      </c>
      <c r="J15" s="54">
        <v>8</v>
      </c>
      <c r="K15" s="54">
        <v>9</v>
      </c>
      <c r="L15" s="49">
        <v>10</v>
      </c>
      <c r="M15" s="49">
        <v>11</v>
      </c>
      <c r="N15" s="49">
        <v>12</v>
      </c>
      <c r="O15" s="49">
        <v>13</v>
      </c>
      <c r="P15" s="49">
        <v>14</v>
      </c>
      <c r="Q15" s="49">
        <v>15</v>
      </c>
    </row>
    <row r="16" spans="1:17" x14ac:dyDescent="0.2">
      <c r="A16" s="49">
        <v>15</v>
      </c>
      <c r="B16" s="54"/>
      <c r="C16" s="55" t="str">
        <f t="shared" ref="C16:Q25" ca="1" si="0">IF($A16&lt;C$15,$B$9*OFFSET(C16,0,-1),IF($A16=C$15,$B$8*OFFSET(C16,1,-1),""))</f>
        <v/>
      </c>
      <c r="D16" s="55" t="str">
        <f t="shared" ca="1" si="0"/>
        <v/>
      </c>
      <c r="E16" s="55" t="str">
        <f t="shared" ca="1" si="0"/>
        <v/>
      </c>
      <c r="F16" s="55" t="str">
        <f t="shared" ca="1" si="0"/>
        <v/>
      </c>
      <c r="G16" s="55" t="str">
        <f t="shared" ca="1" si="0"/>
        <v/>
      </c>
      <c r="H16" s="55" t="str">
        <f t="shared" ca="1" si="0"/>
        <v/>
      </c>
      <c r="I16" s="55" t="str">
        <f t="shared" ca="1" si="0"/>
        <v/>
      </c>
      <c r="J16" s="55" t="str">
        <f t="shared" ca="1" si="0"/>
        <v/>
      </c>
      <c r="K16" s="55" t="str">
        <f t="shared" ca="1" si="0"/>
        <v/>
      </c>
      <c r="L16" s="55" t="str">
        <f t="shared" ca="1" si="0"/>
        <v/>
      </c>
      <c r="M16" s="55" t="str">
        <f t="shared" ca="1" si="0"/>
        <v/>
      </c>
      <c r="N16" s="55" t="str">
        <f t="shared" ca="1" si="0"/>
        <v/>
      </c>
      <c r="O16" s="55" t="str">
        <f t="shared" ca="1" si="0"/>
        <v/>
      </c>
      <c r="P16" s="55" t="str">
        <f t="shared" ca="1" si="0"/>
        <v/>
      </c>
      <c r="Q16" s="55">
        <f t="shared" ca="1" si="0"/>
        <v>178.77315075823685</v>
      </c>
    </row>
    <row r="17" spans="1:17" x14ac:dyDescent="0.2">
      <c r="A17" s="49">
        <v>14</v>
      </c>
      <c r="B17" s="54"/>
      <c r="C17" s="55" t="str">
        <f t="shared" ca="1" si="0"/>
        <v/>
      </c>
      <c r="D17" s="55" t="str">
        <f t="shared" ca="1" si="0"/>
        <v/>
      </c>
      <c r="E17" s="55" t="str">
        <f t="shared" ca="1" si="0"/>
        <v/>
      </c>
      <c r="F17" s="55" t="str">
        <f t="shared" ca="1" si="0"/>
        <v/>
      </c>
      <c r="G17" s="55" t="str">
        <f t="shared" ca="1" si="0"/>
        <v/>
      </c>
      <c r="H17" s="55" t="str">
        <f t="shared" ca="1" si="0"/>
        <v/>
      </c>
      <c r="I17" s="55" t="str">
        <f t="shared" ca="1" si="0"/>
        <v/>
      </c>
      <c r="J17" s="55" t="str">
        <f t="shared" ca="1" si="0"/>
        <v/>
      </c>
      <c r="K17" s="55" t="str">
        <f t="shared" ca="1" si="0"/>
        <v/>
      </c>
      <c r="L17" s="55" t="str">
        <f t="shared" ca="1" si="0"/>
        <v/>
      </c>
      <c r="M17" s="55" t="str">
        <f t="shared" ca="1" si="0"/>
        <v/>
      </c>
      <c r="N17" s="55" t="str">
        <f t="shared" ca="1" si="0"/>
        <v/>
      </c>
      <c r="O17" s="55" t="str">
        <f t="shared" ca="1" si="0"/>
        <v/>
      </c>
      <c r="P17" s="55">
        <f t="shared" ca="1" si="0"/>
        <v>171.98166193235366</v>
      </c>
      <c r="Q17" s="55">
        <f t="shared" ca="1" si="0"/>
        <v>165.44817784754298</v>
      </c>
    </row>
    <row r="18" spans="1:17" x14ac:dyDescent="0.2">
      <c r="A18" s="49">
        <v>13</v>
      </c>
      <c r="B18" s="54"/>
      <c r="C18" s="55" t="str">
        <f t="shared" ca="1" si="0"/>
        <v/>
      </c>
      <c r="D18" s="55" t="str">
        <f t="shared" ca="1" si="0"/>
        <v/>
      </c>
      <c r="E18" s="55" t="str">
        <f t="shared" ca="1" si="0"/>
        <v/>
      </c>
      <c r="F18" s="55" t="str">
        <f t="shared" ca="1" si="0"/>
        <v/>
      </c>
      <c r="G18" s="55" t="str">
        <f t="shared" ca="1" si="0"/>
        <v/>
      </c>
      <c r="H18" s="55" t="str">
        <f t="shared" ca="1" si="0"/>
        <v/>
      </c>
      <c r="I18" s="55" t="str">
        <f t="shared" ca="1" si="0"/>
        <v/>
      </c>
      <c r="J18" s="55" t="str">
        <f t="shared" ca="1" si="0"/>
        <v/>
      </c>
      <c r="K18" s="55" t="str">
        <f t="shared" ca="1" si="0"/>
        <v/>
      </c>
      <c r="L18" s="55" t="str">
        <f t="shared" ca="1" si="0"/>
        <v/>
      </c>
      <c r="M18" s="55" t="str">
        <f t="shared" ca="1" si="0"/>
        <v/>
      </c>
      <c r="N18" s="55" t="str">
        <f t="shared" ca="1" si="0"/>
        <v/>
      </c>
      <c r="O18" s="55">
        <f t="shared" ca="1" si="0"/>
        <v>165.44817784754298</v>
      </c>
      <c r="P18" s="55">
        <f t="shared" ca="1" si="0"/>
        <v>159.16289705258808</v>
      </c>
      <c r="Q18" s="55">
        <f t="shared" ca="1" si="0"/>
        <v>153.11639044774745</v>
      </c>
    </row>
    <row r="19" spans="1:17" x14ac:dyDescent="0.2">
      <c r="A19" s="49">
        <v>12</v>
      </c>
      <c r="B19" s="54"/>
      <c r="C19" s="55" t="str">
        <f t="shared" ca="1" si="0"/>
        <v/>
      </c>
      <c r="D19" s="55" t="str">
        <f t="shared" ca="1" si="0"/>
        <v/>
      </c>
      <c r="E19" s="55" t="str">
        <f t="shared" ca="1" si="0"/>
        <v/>
      </c>
      <c r="F19" s="55" t="str">
        <f t="shared" ca="1" si="0"/>
        <v/>
      </c>
      <c r="G19" s="55" t="str">
        <f t="shared" ca="1" si="0"/>
        <v/>
      </c>
      <c r="H19" s="55" t="str">
        <f t="shared" ca="1" si="0"/>
        <v/>
      </c>
      <c r="I19" s="55" t="str">
        <f t="shared" ca="1" si="0"/>
        <v/>
      </c>
      <c r="J19" s="55" t="str">
        <f t="shared" ca="1" si="0"/>
        <v/>
      </c>
      <c r="K19" s="55" t="str">
        <f t="shared" ca="1" si="0"/>
        <v/>
      </c>
      <c r="L19" s="55" t="str">
        <f t="shared" ca="1" si="0"/>
        <v/>
      </c>
      <c r="M19" s="55" t="str">
        <f t="shared" ca="1" si="0"/>
        <v/>
      </c>
      <c r="N19" s="55">
        <f t="shared" ca="1" si="0"/>
        <v>159.16289705258808</v>
      </c>
      <c r="O19" s="55">
        <f t="shared" ca="1" si="0"/>
        <v>153.11639044774745</v>
      </c>
      <c r="P19" s="55">
        <f t="shared" ca="1" si="0"/>
        <v>147.29958713933715</v>
      </c>
      <c r="Q19" s="55">
        <f t="shared" ca="1" si="0"/>
        <v>141.70376083168941</v>
      </c>
    </row>
    <row r="20" spans="1:17" x14ac:dyDescent="0.2">
      <c r="A20" s="49">
        <v>11</v>
      </c>
      <c r="B20" s="54"/>
      <c r="C20" s="55" t="str">
        <f t="shared" ca="1" si="0"/>
        <v/>
      </c>
      <c r="D20" s="55" t="str">
        <f t="shared" ca="1" si="0"/>
        <v/>
      </c>
      <c r="E20" s="55" t="str">
        <f t="shared" ca="1" si="0"/>
        <v/>
      </c>
      <c r="F20" s="55" t="str">
        <f t="shared" ca="1" si="0"/>
        <v/>
      </c>
      <c r="G20" s="55" t="str">
        <f t="shared" ca="1" si="0"/>
        <v/>
      </c>
      <c r="H20" s="55" t="str">
        <f t="shared" ca="1" si="0"/>
        <v/>
      </c>
      <c r="I20" s="55" t="str">
        <f t="shared" ca="1" si="0"/>
        <v/>
      </c>
      <c r="J20" s="55" t="str">
        <f t="shared" ca="1" si="0"/>
        <v/>
      </c>
      <c r="K20" s="55" t="str">
        <f t="shared" ca="1" si="0"/>
        <v/>
      </c>
      <c r="L20" s="55" t="str">
        <f t="shared" ca="1" si="0"/>
        <v/>
      </c>
      <c r="M20" s="55">
        <f t="shared" ca="1" si="0"/>
        <v>153.11639044774745</v>
      </c>
      <c r="N20" s="55">
        <f t="shared" ca="1" si="0"/>
        <v>147.29958713933715</v>
      </c>
      <c r="O20" s="55">
        <f t="shared" ca="1" si="0"/>
        <v>141.70376083168941</v>
      </c>
      <c r="P20" s="55">
        <f t="shared" ca="1" si="0"/>
        <v>136.32051673607288</v>
      </c>
      <c r="Q20" s="55">
        <f t="shared" ca="1" si="0"/>
        <v>131.14177897693537</v>
      </c>
    </row>
    <row r="21" spans="1:17" x14ac:dyDescent="0.2">
      <c r="A21" s="49">
        <v>10</v>
      </c>
      <c r="B21" s="54"/>
      <c r="C21" s="55" t="str">
        <f t="shared" ca="1" si="0"/>
        <v/>
      </c>
      <c r="D21" s="55" t="str">
        <f t="shared" ca="1" si="0"/>
        <v/>
      </c>
      <c r="E21" s="55" t="str">
        <f t="shared" ca="1" si="0"/>
        <v/>
      </c>
      <c r="F21" s="55" t="str">
        <f t="shared" ca="1" si="0"/>
        <v/>
      </c>
      <c r="G21" s="55" t="str">
        <f t="shared" ca="1" si="0"/>
        <v/>
      </c>
      <c r="H21" s="55" t="str">
        <f t="shared" ca="1" si="0"/>
        <v/>
      </c>
      <c r="I21" s="55" t="str">
        <f t="shared" ca="1" si="0"/>
        <v/>
      </c>
      <c r="J21" s="55" t="str">
        <f t="shared" ca="1" si="0"/>
        <v/>
      </c>
      <c r="K21" s="55" t="str">
        <f t="shared" ca="1" si="0"/>
        <v/>
      </c>
      <c r="L21" s="55">
        <f t="shared" ca="1" si="0"/>
        <v>147.29958713933715</v>
      </c>
      <c r="M21" s="55">
        <f t="shared" ca="1" si="0"/>
        <v>141.70376083168941</v>
      </c>
      <c r="N21" s="55">
        <f t="shared" ca="1" si="0"/>
        <v>136.32051673607288</v>
      </c>
      <c r="O21" s="55">
        <f t="shared" ca="1" si="0"/>
        <v>131.14177897693537</v>
      </c>
      <c r="P21" s="55">
        <f t="shared" ca="1" si="0"/>
        <v>126.15977847657631</v>
      </c>
      <c r="Q21" s="55">
        <f t="shared" ca="1" si="0"/>
        <v>121.36704130007335</v>
      </c>
    </row>
    <row r="22" spans="1:17" x14ac:dyDescent="0.2">
      <c r="A22" s="49">
        <v>9</v>
      </c>
      <c r="B22" s="54"/>
      <c r="C22" s="55" t="str">
        <f t="shared" ca="1" si="0"/>
        <v/>
      </c>
      <c r="D22" s="55" t="str">
        <f t="shared" ca="1" si="0"/>
        <v/>
      </c>
      <c r="E22" s="55" t="str">
        <f t="shared" ca="1" si="0"/>
        <v/>
      </c>
      <c r="F22" s="55" t="str">
        <f t="shared" ca="1" si="0"/>
        <v/>
      </c>
      <c r="G22" s="55" t="str">
        <f t="shared" ca="1" si="0"/>
        <v/>
      </c>
      <c r="H22" s="55" t="str">
        <f t="shared" ca="1" si="0"/>
        <v/>
      </c>
      <c r="I22" s="55" t="str">
        <f t="shared" ca="1" si="0"/>
        <v/>
      </c>
      <c r="J22" s="55" t="str">
        <f t="shared" ca="1" si="0"/>
        <v/>
      </c>
      <c r="K22" s="55">
        <f t="shared" ca="1" si="0"/>
        <v>141.70376083168941</v>
      </c>
      <c r="L22" s="55">
        <f t="shared" ca="1" si="0"/>
        <v>136.32051673607288</v>
      </c>
      <c r="M22" s="55">
        <f t="shared" ca="1" si="0"/>
        <v>131.14177897693537</v>
      </c>
      <c r="N22" s="55">
        <f t="shared" ca="1" si="0"/>
        <v>126.15977847657631</v>
      </c>
      <c r="O22" s="55">
        <f t="shared" ca="1" si="0"/>
        <v>121.36704130007335</v>
      </c>
      <c r="P22" s="55">
        <f t="shared" ca="1" si="0"/>
        <v>116.7563774429786</v>
      </c>
      <c r="Q22" s="55">
        <f t="shared" ca="1" si="0"/>
        <v>112.32087004496371</v>
      </c>
    </row>
    <row r="23" spans="1:17" x14ac:dyDescent="0.2">
      <c r="A23" s="49">
        <v>8</v>
      </c>
      <c r="B23" s="54"/>
      <c r="C23" s="55" t="str">
        <f t="shared" ca="1" si="0"/>
        <v/>
      </c>
      <c r="D23" s="55" t="str">
        <f t="shared" ca="1" si="0"/>
        <v/>
      </c>
      <c r="E23" s="55" t="str">
        <f t="shared" ca="1" si="0"/>
        <v/>
      </c>
      <c r="F23" s="55" t="str">
        <f t="shared" ca="1" si="0"/>
        <v/>
      </c>
      <c r="G23" s="55" t="str">
        <f t="shared" ca="1" si="0"/>
        <v/>
      </c>
      <c r="H23" s="55" t="str">
        <f t="shared" ca="1" si="0"/>
        <v/>
      </c>
      <c r="I23" s="55" t="str">
        <f t="shared" ca="1" si="0"/>
        <v/>
      </c>
      <c r="J23" s="55">
        <f t="shared" ca="1" si="0"/>
        <v>136.32051673607288</v>
      </c>
      <c r="K23" s="55">
        <f t="shared" ca="1" si="0"/>
        <v>131.14177897693537</v>
      </c>
      <c r="L23" s="55">
        <f t="shared" ca="1" si="0"/>
        <v>126.15977847657631</v>
      </c>
      <c r="M23" s="55">
        <f t="shared" ca="1" si="0"/>
        <v>121.36704130007335</v>
      </c>
      <c r="N23" s="55">
        <f t="shared" ca="1" si="0"/>
        <v>116.7563774429786</v>
      </c>
      <c r="O23" s="55">
        <f t="shared" ca="1" si="0"/>
        <v>112.32087004496371</v>
      </c>
      <c r="P23" s="55">
        <f t="shared" ca="1" si="0"/>
        <v>108.05386501323244</v>
      </c>
      <c r="Q23" s="55">
        <f t="shared" ca="1" si="0"/>
        <v>103.94896104013374</v>
      </c>
    </row>
    <row r="24" spans="1:17" x14ac:dyDescent="0.2">
      <c r="A24" s="49">
        <v>7</v>
      </c>
      <c r="B24" s="54"/>
      <c r="C24" s="55" t="str">
        <f t="shared" ca="1" si="0"/>
        <v/>
      </c>
      <c r="D24" s="55" t="str">
        <f t="shared" ca="1" si="0"/>
        <v/>
      </c>
      <c r="E24" s="55" t="str">
        <f t="shared" ca="1" si="0"/>
        <v/>
      </c>
      <c r="F24" s="55" t="str">
        <f t="shared" ca="1" si="0"/>
        <v/>
      </c>
      <c r="G24" s="55" t="str">
        <f t="shared" ca="1" si="0"/>
        <v/>
      </c>
      <c r="H24" s="55" t="str">
        <f t="shared" ca="1" si="0"/>
        <v/>
      </c>
      <c r="I24" s="55">
        <f t="shared" ca="1" si="0"/>
        <v>131.14177897693537</v>
      </c>
      <c r="J24" s="55">
        <f t="shared" ca="1" si="0"/>
        <v>126.15977847657631</v>
      </c>
      <c r="K24" s="55">
        <f t="shared" ca="1" si="0"/>
        <v>121.36704130007335</v>
      </c>
      <c r="L24" s="55">
        <f t="shared" ca="1" si="0"/>
        <v>116.7563774429786</v>
      </c>
      <c r="M24" s="55">
        <f t="shared" ca="1" si="0"/>
        <v>112.32087004496371</v>
      </c>
      <c r="N24" s="55">
        <f t="shared" ca="1" si="0"/>
        <v>108.05386501323244</v>
      </c>
      <c r="O24" s="55">
        <f t="shared" ca="1" si="0"/>
        <v>103.94896104013374</v>
      </c>
      <c r="P24" s="55">
        <f t="shared" ca="1" si="0"/>
        <v>99.999999999999972</v>
      </c>
      <c r="Q24" s="55">
        <f t="shared" ca="1" si="0"/>
        <v>96.201057710803738</v>
      </c>
    </row>
    <row r="25" spans="1:17" x14ac:dyDescent="0.2">
      <c r="A25" s="49">
        <v>6</v>
      </c>
      <c r="B25" s="54"/>
      <c r="C25" s="55" t="str">
        <f t="shared" ca="1" si="0"/>
        <v/>
      </c>
      <c r="D25" s="55" t="str">
        <f t="shared" ca="1" si="0"/>
        <v/>
      </c>
      <c r="E25" s="55" t="str">
        <f t="shared" ca="1" si="0"/>
        <v/>
      </c>
      <c r="F25" s="55" t="str">
        <f t="shared" ca="1" si="0"/>
        <v/>
      </c>
      <c r="G25" s="55" t="str">
        <f t="shared" ca="1" si="0"/>
        <v/>
      </c>
      <c r="H25" s="55">
        <f t="shared" ca="1" si="0"/>
        <v>126.15977847657631</v>
      </c>
      <c r="I25" s="55">
        <f t="shared" ca="1" si="0"/>
        <v>121.36704130007335</v>
      </c>
      <c r="J25" s="55">
        <f t="shared" ca="1" si="0"/>
        <v>116.7563774429786</v>
      </c>
      <c r="K25" s="55">
        <f t="shared" ca="1" si="0"/>
        <v>112.32087004496371</v>
      </c>
      <c r="L25" s="55">
        <f t="shared" ca="1" si="0"/>
        <v>108.05386501323244</v>
      </c>
      <c r="M25" s="55">
        <f t="shared" ca="1" si="0"/>
        <v>103.94896104013374</v>
      </c>
      <c r="N25" s="55">
        <f t="shared" ca="1" si="0"/>
        <v>99.999999999999972</v>
      </c>
      <c r="O25" s="55">
        <f t="shared" ca="1" si="0"/>
        <v>96.201057710803738</v>
      </c>
      <c r="P25" s="55">
        <f t="shared" ca="1" si="0"/>
        <v>92.546435046773937</v>
      </c>
      <c r="Q25" s="55">
        <f t="shared" ca="1" si="0"/>
        <v>89.030649388638508</v>
      </c>
    </row>
    <row r="26" spans="1:17" x14ac:dyDescent="0.2">
      <c r="A26" s="49">
        <v>5</v>
      </c>
      <c r="C26" s="55" t="str">
        <f t="shared" ref="C26:Q31" ca="1" si="1">IF($A26&lt;C$15,$B$9*OFFSET(C26,0,-1),IF($A26=C$15,$B$8*OFFSET(C26,1,-1),""))</f>
        <v/>
      </c>
      <c r="D26" s="55" t="str">
        <f t="shared" ca="1" si="1"/>
        <v/>
      </c>
      <c r="E26" s="55" t="str">
        <f t="shared" ca="1" si="1"/>
        <v/>
      </c>
      <c r="F26" s="55" t="str">
        <f t="shared" ca="1" si="1"/>
        <v/>
      </c>
      <c r="G26" s="55">
        <f t="shared" ca="1" si="1"/>
        <v>121.36704130007337</v>
      </c>
      <c r="H26" s="55">
        <f t="shared" ca="1" si="1"/>
        <v>116.75637744297862</v>
      </c>
      <c r="I26" s="55">
        <f t="shared" ca="1" si="1"/>
        <v>112.32087004496373</v>
      </c>
      <c r="J26" s="55">
        <f t="shared" ca="1" si="1"/>
        <v>108.05386501323245</v>
      </c>
      <c r="K26" s="55">
        <f t="shared" ca="1" si="1"/>
        <v>103.94896104013375</v>
      </c>
      <c r="L26" s="55">
        <f t="shared" ca="1" si="1"/>
        <v>99.999999999999986</v>
      </c>
      <c r="M26" s="55">
        <f t="shared" ca="1" si="1"/>
        <v>96.201057710803752</v>
      </c>
      <c r="N26" s="55">
        <f t="shared" ca="1" si="1"/>
        <v>92.546435046773951</v>
      </c>
      <c r="O26" s="55">
        <f t="shared" ca="1" si="1"/>
        <v>89.030649388638523</v>
      </c>
      <c r="P26" s="55">
        <f t="shared" ca="1" si="1"/>
        <v>85.648426398667496</v>
      </c>
      <c r="Q26" s="55">
        <f t="shared" ca="1" si="1"/>
        <v>82.394692108177395</v>
      </c>
    </row>
    <row r="27" spans="1:17" x14ac:dyDescent="0.2">
      <c r="A27" s="49">
        <v>4</v>
      </c>
      <c r="C27" s="55" t="str">
        <f t="shared" ca="1" si="1"/>
        <v/>
      </c>
      <c r="D27" s="55" t="str">
        <f t="shared" ca="1" si="1"/>
        <v/>
      </c>
      <c r="E27" s="55" t="str">
        <f t="shared" ca="1" si="1"/>
        <v/>
      </c>
      <c r="F27" s="55">
        <f t="shared" ca="1" si="1"/>
        <v>116.75637744297862</v>
      </c>
      <c r="G27" s="55">
        <f t="shared" ca="1" si="1"/>
        <v>112.32087004496373</v>
      </c>
      <c r="H27" s="55">
        <f t="shared" ca="1" si="1"/>
        <v>108.05386501323245</v>
      </c>
      <c r="I27" s="55">
        <f t="shared" ca="1" si="1"/>
        <v>103.94896104013375</v>
      </c>
      <c r="J27" s="55">
        <f t="shared" ca="1" si="1"/>
        <v>99.999999999999986</v>
      </c>
      <c r="K27" s="55">
        <f t="shared" ca="1" si="1"/>
        <v>96.201057710803752</v>
      </c>
      <c r="L27" s="55">
        <f t="shared" ca="1" si="1"/>
        <v>92.546435046773951</v>
      </c>
      <c r="M27" s="55">
        <f t="shared" ca="1" si="1"/>
        <v>89.030649388638523</v>
      </c>
      <c r="N27" s="55">
        <f t="shared" ca="1" si="1"/>
        <v>85.648426398667496</v>
      </c>
      <c r="O27" s="55">
        <f t="shared" ca="1" si="1"/>
        <v>82.394692108177395</v>
      </c>
      <c r="P27" s="55">
        <f t="shared" ca="1" si="1"/>
        <v>79.264565305626803</v>
      </c>
      <c r="Q27" s="55">
        <f t="shared" ca="1" si="1"/>
        <v>76.253350213883778</v>
      </c>
    </row>
    <row r="28" spans="1:17" x14ac:dyDescent="0.2">
      <c r="A28" s="49">
        <v>3</v>
      </c>
      <c r="C28" s="55" t="str">
        <f t="shared" ca="1" si="1"/>
        <v/>
      </c>
      <c r="D28" s="55" t="str">
        <f t="shared" ca="1" si="1"/>
        <v/>
      </c>
      <c r="E28" s="55">
        <f t="shared" ca="1" si="1"/>
        <v>112.32087004496373</v>
      </c>
      <c r="F28" s="55">
        <f t="shared" ca="1" si="1"/>
        <v>108.05386501323245</v>
      </c>
      <c r="G28" s="55">
        <f t="shared" ca="1" si="1"/>
        <v>103.94896104013375</v>
      </c>
      <c r="H28" s="55">
        <f t="shared" ca="1" si="1"/>
        <v>99.999999999999986</v>
      </c>
      <c r="I28" s="55">
        <f t="shared" ca="1" si="1"/>
        <v>96.201057710803752</v>
      </c>
      <c r="J28" s="55">
        <f t="shared" ca="1" si="1"/>
        <v>92.546435046773951</v>
      </c>
      <c r="K28" s="55">
        <f t="shared" ca="1" si="1"/>
        <v>89.030649388638523</v>
      </c>
      <c r="L28" s="55">
        <f t="shared" ca="1" si="1"/>
        <v>85.648426398667496</v>
      </c>
      <c r="M28" s="55">
        <f t="shared" ca="1" si="1"/>
        <v>82.394692108177395</v>
      </c>
      <c r="N28" s="55">
        <f t="shared" ca="1" si="1"/>
        <v>79.264565305626803</v>
      </c>
      <c r="O28" s="55">
        <f t="shared" ca="1" si="1"/>
        <v>76.253350213883778</v>
      </c>
      <c r="P28" s="55">
        <f t="shared" ca="1" si="1"/>
        <v>73.356529445679641</v>
      </c>
      <c r="Q28" s="55">
        <f t="shared" ca="1" si="1"/>
        <v>70.56975722668102</v>
      </c>
    </row>
    <row r="29" spans="1:17" x14ac:dyDescent="0.2">
      <c r="A29" s="49">
        <v>2</v>
      </c>
      <c r="C29" s="55" t="str">
        <f t="shared" ca="1" si="1"/>
        <v/>
      </c>
      <c r="D29" s="55">
        <f t="shared" ca="1" si="1"/>
        <v>108.05386501323245</v>
      </c>
      <c r="E29" s="55">
        <f t="shared" ca="1" si="1"/>
        <v>103.94896104013375</v>
      </c>
      <c r="F29" s="55">
        <f t="shared" ca="1" si="1"/>
        <v>99.999999999999986</v>
      </c>
      <c r="G29" s="55">
        <f t="shared" ca="1" si="1"/>
        <v>96.201057710803752</v>
      </c>
      <c r="H29" s="55">
        <f t="shared" ca="1" si="1"/>
        <v>92.546435046773951</v>
      </c>
      <c r="I29" s="55">
        <f t="shared" ca="1" si="1"/>
        <v>89.030649388638523</v>
      </c>
      <c r="J29" s="55">
        <f t="shared" ca="1" si="1"/>
        <v>85.648426398667496</v>
      </c>
      <c r="K29" s="55">
        <f t="shared" ca="1" si="1"/>
        <v>82.394692108177395</v>
      </c>
      <c r="L29" s="55">
        <f t="shared" ca="1" si="1"/>
        <v>79.264565305626803</v>
      </c>
      <c r="M29" s="55">
        <f t="shared" ca="1" si="1"/>
        <v>76.253350213883778</v>
      </c>
      <c r="N29" s="55">
        <f t="shared" ca="1" si="1"/>
        <v>73.356529445679641</v>
      </c>
      <c r="O29" s="55">
        <f t="shared" ca="1" si="1"/>
        <v>70.56975722668102</v>
      </c>
      <c r="P29" s="55">
        <f t="shared" ca="1" si="1"/>
        <v>67.888852876013516</v>
      </c>
      <c r="Q29" s="55">
        <f t="shared" ca="1" si="1"/>
        <v>65.309794534456415</v>
      </c>
    </row>
    <row r="30" spans="1:17" x14ac:dyDescent="0.2">
      <c r="A30" s="49">
        <v>1</v>
      </c>
      <c r="C30" s="55">
        <f t="shared" ca="1" si="1"/>
        <v>103.94896104013375</v>
      </c>
      <c r="D30" s="55">
        <f t="shared" ca="1" si="1"/>
        <v>99.999999999999986</v>
      </c>
      <c r="E30" s="55">
        <f t="shared" ca="1" si="1"/>
        <v>96.201057710803752</v>
      </c>
      <c r="F30" s="55">
        <f t="shared" ca="1" si="1"/>
        <v>92.546435046773951</v>
      </c>
      <c r="G30" s="55">
        <f t="shared" ca="1" si="1"/>
        <v>89.030649388638523</v>
      </c>
      <c r="H30" s="55">
        <f t="shared" ca="1" si="1"/>
        <v>85.648426398667496</v>
      </c>
      <c r="I30" s="55">
        <f t="shared" ca="1" si="1"/>
        <v>82.394692108177395</v>
      </c>
      <c r="J30" s="55">
        <f t="shared" ca="1" si="1"/>
        <v>79.264565305626803</v>
      </c>
      <c r="K30" s="55">
        <f t="shared" ca="1" si="1"/>
        <v>76.253350213883778</v>
      </c>
      <c r="L30" s="55">
        <f t="shared" ca="1" si="1"/>
        <v>73.356529445679641</v>
      </c>
      <c r="M30" s="55">
        <f t="shared" ca="1" si="1"/>
        <v>70.56975722668102</v>
      </c>
      <c r="N30" s="55">
        <f t="shared" ca="1" si="1"/>
        <v>67.888852876013516</v>
      </c>
      <c r="O30" s="55">
        <f t="shared" ca="1" si="1"/>
        <v>65.309794534456415</v>
      </c>
      <c r="P30" s="55">
        <f t="shared" ca="1" si="1"/>
        <v>62.828713130899779</v>
      </c>
      <c r="Q30" s="55">
        <f t="shared" ca="1" si="1"/>
        <v>60.441886578012237</v>
      </c>
    </row>
    <row r="31" spans="1:17" x14ac:dyDescent="0.2">
      <c r="A31" s="49">
        <v>0</v>
      </c>
      <c r="B31" s="55">
        <f>$B$2</f>
        <v>100</v>
      </c>
      <c r="C31" s="55">
        <f ca="1">IF($A31&lt;C$15,$B$9*OFFSET(C31,0,-1),IF($A31=C$15,$B$8*OFFSET(C31,1,-1),""))</f>
        <v>96.201057710803767</v>
      </c>
      <c r="D31" s="55">
        <f t="shared" ca="1" si="1"/>
        <v>92.546435046773965</v>
      </c>
      <c r="E31" s="55">
        <f t="shared" ca="1" si="1"/>
        <v>89.030649388638537</v>
      </c>
      <c r="F31" s="55">
        <f t="shared" ca="1" si="1"/>
        <v>85.64842639866751</v>
      </c>
      <c r="G31" s="55">
        <f t="shared" ca="1" si="1"/>
        <v>82.394692108177409</v>
      </c>
      <c r="H31" s="55">
        <f t="shared" ca="1" si="1"/>
        <v>79.264565305626817</v>
      </c>
      <c r="I31" s="55">
        <f t="shared" ca="1" si="1"/>
        <v>76.253350213883792</v>
      </c>
      <c r="J31" s="55">
        <f t="shared" ca="1" si="1"/>
        <v>73.356529445679655</v>
      </c>
      <c r="K31" s="55">
        <f t="shared" ca="1" si="1"/>
        <v>70.569757226681034</v>
      </c>
      <c r="L31" s="55">
        <f t="shared" ca="1" si="1"/>
        <v>67.88885287601353</v>
      </c>
      <c r="M31" s="55">
        <f t="shared" ca="1" si="1"/>
        <v>65.309794534456429</v>
      </c>
      <c r="N31" s="55">
        <f t="shared" ca="1" si="1"/>
        <v>62.828713130899793</v>
      </c>
      <c r="O31" s="55">
        <f t="shared" ca="1" si="1"/>
        <v>60.441886578012252</v>
      </c>
      <c r="P31" s="55">
        <f t="shared" ca="1" si="1"/>
        <v>58.145734188412121</v>
      </c>
      <c r="Q31" s="55">
        <f t="shared" ca="1" si="1"/>
        <v>55.936811302964898</v>
      </c>
    </row>
    <row r="32" spans="1:17" x14ac:dyDescent="0.2">
      <c r="B32" s="57"/>
      <c r="C32" s="57"/>
      <c r="D32" s="56"/>
      <c r="E32" s="56"/>
      <c r="F32" s="56"/>
      <c r="G32" s="56"/>
      <c r="H32" s="56"/>
      <c r="I32" s="56"/>
      <c r="J32" s="56"/>
      <c r="K32" s="56"/>
    </row>
    <row r="34" spans="1:17" x14ac:dyDescent="0.2">
      <c r="A34" s="58" t="s">
        <v>34</v>
      </c>
    </row>
    <row r="35" spans="1:17" x14ac:dyDescent="0.2">
      <c r="B35" s="54">
        <v>0</v>
      </c>
      <c r="C35" s="54">
        <v>1</v>
      </c>
      <c r="D35" s="54">
        <v>2</v>
      </c>
      <c r="E35" s="54">
        <v>3</v>
      </c>
      <c r="F35" s="54">
        <v>4</v>
      </c>
      <c r="G35" s="54">
        <v>5</v>
      </c>
      <c r="H35" s="54">
        <v>6</v>
      </c>
      <c r="I35" s="54">
        <v>7</v>
      </c>
      <c r="J35" s="54">
        <v>8</v>
      </c>
      <c r="K35" s="54">
        <v>9</v>
      </c>
      <c r="L35" s="49">
        <v>10</v>
      </c>
      <c r="M35" s="49">
        <v>11</v>
      </c>
      <c r="N35" s="49">
        <v>12</v>
      </c>
      <c r="O35" s="49">
        <v>13</v>
      </c>
      <c r="P35" s="49">
        <v>14</v>
      </c>
      <c r="Q35" s="49">
        <v>15</v>
      </c>
    </row>
    <row r="36" spans="1:17" x14ac:dyDescent="0.2">
      <c r="A36" s="49">
        <v>15</v>
      </c>
      <c r="B36" s="59" t="str">
        <f t="shared" ref="B36:P36" si="2">IF($A36 &lt;= B$35, ($B$10*C35+$B$11*C36)/EXP($B$6 * $B$3/$B$5),"")</f>
        <v/>
      </c>
      <c r="C36" s="59" t="str">
        <f t="shared" si="2"/>
        <v/>
      </c>
      <c r="D36" s="59" t="str">
        <f t="shared" si="2"/>
        <v/>
      </c>
      <c r="E36" s="59" t="str">
        <f t="shared" si="2"/>
        <v/>
      </c>
      <c r="F36" s="59" t="str">
        <f t="shared" si="2"/>
        <v/>
      </c>
      <c r="G36" s="59" t="str">
        <f t="shared" si="2"/>
        <v/>
      </c>
      <c r="H36" s="59" t="str">
        <f t="shared" si="2"/>
        <v/>
      </c>
      <c r="I36" s="59" t="str">
        <f t="shared" si="2"/>
        <v/>
      </c>
      <c r="J36" s="59" t="str">
        <f t="shared" si="2"/>
        <v/>
      </c>
      <c r="K36" s="59" t="str">
        <f t="shared" si="2"/>
        <v/>
      </c>
      <c r="L36" s="59" t="str">
        <f t="shared" si="2"/>
        <v/>
      </c>
      <c r="M36" s="59" t="str">
        <f t="shared" si="2"/>
        <v/>
      </c>
      <c r="N36" s="59" t="str">
        <f t="shared" si="2"/>
        <v/>
      </c>
      <c r="O36" s="59" t="str">
        <f t="shared" si="2"/>
        <v/>
      </c>
      <c r="P36" s="59" t="str">
        <f t="shared" si="2"/>
        <v/>
      </c>
      <c r="Q36" s="56">
        <f t="shared" ref="Q36:Q39" ca="1" si="3">MAX($G$2*(Q16-$G$3),0)</f>
        <v>68.773150758236852</v>
      </c>
    </row>
    <row r="37" spans="1:17" x14ac:dyDescent="0.2">
      <c r="A37" s="49">
        <v>14</v>
      </c>
      <c r="B37" s="59" t="str">
        <f t="shared" ref="B37:P37" si="4">IF($A37 &lt;= B$35, ($B$10*C36+$B$11*C37)/EXP($B$6 * $B$3/$B$5),"")</f>
        <v/>
      </c>
      <c r="C37" s="59" t="str">
        <f t="shared" si="4"/>
        <v/>
      </c>
      <c r="D37" s="59" t="str">
        <f t="shared" si="4"/>
        <v/>
      </c>
      <c r="E37" s="59" t="str">
        <f t="shared" si="4"/>
        <v/>
      </c>
      <c r="F37" s="59" t="str">
        <f t="shared" si="4"/>
        <v/>
      </c>
      <c r="G37" s="59" t="str">
        <f t="shared" si="4"/>
        <v/>
      </c>
      <c r="H37" s="59" t="str">
        <f t="shared" si="4"/>
        <v/>
      </c>
      <c r="I37" s="59" t="str">
        <f t="shared" si="4"/>
        <v/>
      </c>
      <c r="J37" s="59" t="str">
        <f t="shared" si="4"/>
        <v/>
      </c>
      <c r="K37" s="59" t="str">
        <f t="shared" si="4"/>
        <v/>
      </c>
      <c r="L37" s="59" t="str">
        <f t="shared" si="4"/>
        <v/>
      </c>
      <c r="M37" s="59" t="str">
        <f t="shared" si="4"/>
        <v/>
      </c>
      <c r="N37" s="59" t="str">
        <f t="shared" si="4"/>
        <v/>
      </c>
      <c r="O37" s="59" t="str">
        <f t="shared" si="4"/>
        <v/>
      </c>
      <c r="P37" s="59">
        <f t="shared" ca="1" si="4"/>
        <v>61.989661266767605</v>
      </c>
      <c r="Q37" s="56">
        <f t="shared" ca="1" si="3"/>
        <v>55.448177847542979</v>
      </c>
    </row>
    <row r="38" spans="1:17" x14ac:dyDescent="0.2">
      <c r="A38" s="49">
        <v>13</v>
      </c>
      <c r="B38" s="59" t="str">
        <f t="shared" ref="B38:P38" si="5">IF($A38 &lt;= B$35, ($B$10*C37+$B$11*C38)/EXP($B$6 * $B$3/$B$5),"")</f>
        <v/>
      </c>
      <c r="C38" s="59" t="str">
        <f t="shared" si="5"/>
        <v/>
      </c>
      <c r="D38" s="59" t="str">
        <f t="shared" si="5"/>
        <v/>
      </c>
      <c r="E38" s="59" t="str">
        <f t="shared" si="5"/>
        <v/>
      </c>
      <c r="F38" s="59" t="str">
        <f t="shared" si="5"/>
        <v/>
      </c>
      <c r="G38" s="59" t="str">
        <f t="shared" si="5"/>
        <v/>
      </c>
      <c r="H38" s="59" t="str">
        <f t="shared" si="5"/>
        <v/>
      </c>
      <c r="I38" s="59" t="str">
        <f t="shared" si="5"/>
        <v/>
      </c>
      <c r="J38" s="59" t="str">
        <f t="shared" si="5"/>
        <v/>
      </c>
      <c r="K38" s="59" t="str">
        <f t="shared" si="5"/>
        <v/>
      </c>
      <c r="L38" s="59" t="str">
        <f t="shared" si="5"/>
        <v/>
      </c>
      <c r="M38" s="59" t="str">
        <f t="shared" si="5"/>
        <v/>
      </c>
      <c r="N38" s="59" t="str">
        <f t="shared" si="5"/>
        <v/>
      </c>
      <c r="O38" s="59">
        <f t="shared" ca="1" si="5"/>
        <v>55.466346539791445</v>
      </c>
      <c r="P38" s="59">
        <f t="shared" ca="1" si="5"/>
        <v>49.173032669786807</v>
      </c>
      <c r="Q38" s="56">
        <f t="shared" ca="1" si="3"/>
        <v>43.116390447747449</v>
      </c>
    </row>
    <row r="39" spans="1:17" x14ac:dyDescent="0.2">
      <c r="A39" s="49">
        <v>12</v>
      </c>
      <c r="B39" s="59" t="str">
        <f t="shared" ref="B39:P39" si="6">IF($A39 &lt;= B$35, ($B$10*C38+$B$11*C39)/EXP($B$6 * $B$3/$B$5),"")</f>
        <v/>
      </c>
      <c r="C39" s="59" t="str">
        <f t="shared" si="6"/>
        <v/>
      </c>
      <c r="D39" s="59" t="str">
        <f t="shared" si="6"/>
        <v/>
      </c>
      <c r="E39" s="59" t="str">
        <f t="shared" si="6"/>
        <v/>
      </c>
      <c r="F39" s="59" t="str">
        <f t="shared" si="6"/>
        <v/>
      </c>
      <c r="G39" s="59" t="str">
        <f t="shared" si="6"/>
        <v/>
      </c>
      <c r="H39" s="59" t="str">
        <f t="shared" si="6"/>
        <v/>
      </c>
      <c r="I39" s="59" t="str">
        <f t="shared" si="6"/>
        <v/>
      </c>
      <c r="J39" s="59" t="str">
        <f t="shared" si="6"/>
        <v/>
      </c>
      <c r="K39" s="59" t="str">
        <f t="shared" si="6"/>
        <v/>
      </c>
      <c r="L39" s="59" t="str">
        <f t="shared" si="6"/>
        <v/>
      </c>
      <c r="M39" s="59" t="str">
        <f t="shared" si="6"/>
        <v/>
      </c>
      <c r="N39" s="59">
        <f t="shared" ca="1" si="6"/>
        <v>49.193280514437177</v>
      </c>
      <c r="O39" s="59">
        <f t="shared" ca="1" si="6"/>
        <v>43.138669050772663</v>
      </c>
      <c r="P39" s="59">
        <f t="shared" ca="1" si="6"/>
        <v>37.31169981009571</v>
      </c>
      <c r="Q39" s="56">
        <f t="shared" ca="1" si="3"/>
        <v>31.703760831689408</v>
      </c>
    </row>
    <row r="40" spans="1:17" x14ac:dyDescent="0.2">
      <c r="A40" s="49">
        <v>11</v>
      </c>
      <c r="B40" s="59" t="str">
        <f t="shared" ref="B40:P40" si="7">IF($A40 &lt;= B$35, ($B$10*C39+$B$11*C40)/EXP($B$6 * $B$3/$B$5),"")</f>
        <v/>
      </c>
      <c r="C40" s="59" t="str">
        <f t="shared" si="7"/>
        <v/>
      </c>
      <c r="D40" s="59" t="str">
        <f t="shared" si="7"/>
        <v/>
      </c>
      <c r="E40" s="59" t="str">
        <f t="shared" si="7"/>
        <v/>
      </c>
      <c r="F40" s="59" t="str">
        <f t="shared" si="7"/>
        <v/>
      </c>
      <c r="G40" s="59" t="str">
        <f t="shared" si="7"/>
        <v/>
      </c>
      <c r="H40" s="59" t="str">
        <f t="shared" si="7"/>
        <v/>
      </c>
      <c r="I40" s="59" t="str">
        <f t="shared" si="7"/>
        <v/>
      </c>
      <c r="J40" s="59" t="str">
        <f t="shared" si="7"/>
        <v/>
      </c>
      <c r="K40" s="59" t="str">
        <f t="shared" si="7"/>
        <v/>
      </c>
      <c r="L40" s="59" t="str">
        <f t="shared" si="7"/>
        <v/>
      </c>
      <c r="M40" s="59">
        <f t="shared" ca="1" si="7"/>
        <v>43.160915804751305</v>
      </c>
      <c r="N40" s="59">
        <f t="shared" ca="1" si="7"/>
        <v>37.335900773476261</v>
      </c>
      <c r="O40" s="59">
        <f t="shared" ca="1" si="7"/>
        <v>31.729843010622105</v>
      </c>
      <c r="P40" s="59">
        <f t="shared" ca="1" si="7"/>
        <v>26.334459099420034</v>
      </c>
      <c r="Q40" s="56">
        <f ca="1">MAX($G$2*(Q20-$G$3),0)</f>
        <v>21.14177897693537</v>
      </c>
    </row>
    <row r="41" spans="1:17" x14ac:dyDescent="0.2">
      <c r="A41" s="49">
        <v>10</v>
      </c>
      <c r="B41" s="59" t="str">
        <f t="shared" ref="B41:P41" si="8">IF($A41 &lt;= B$35, ($B$10*C40+$B$11*C41)/EXP($B$6 * $B$3/$B$5),"")</f>
        <v/>
      </c>
      <c r="C41" s="59" t="str">
        <f t="shared" si="8"/>
        <v/>
      </c>
      <c r="D41" s="59" t="str">
        <f t="shared" si="8"/>
        <v/>
      </c>
      <c r="E41" s="59" t="str">
        <f t="shared" si="8"/>
        <v/>
      </c>
      <c r="F41" s="59" t="str">
        <f t="shared" si="8"/>
        <v/>
      </c>
      <c r="G41" s="59" t="str">
        <f t="shared" si="8"/>
        <v/>
      </c>
      <c r="H41" s="59" t="str">
        <f t="shared" si="8"/>
        <v/>
      </c>
      <c r="I41" s="59" t="str">
        <f t="shared" si="8"/>
        <v/>
      </c>
      <c r="J41" s="59" t="str">
        <f t="shared" si="8"/>
        <v/>
      </c>
      <c r="K41" s="59" t="str">
        <f t="shared" si="8"/>
        <v/>
      </c>
      <c r="L41" s="59">
        <f t="shared" ca="1" si="8"/>
        <v>37.36006925527024</v>
      </c>
      <c r="M41" s="59">
        <f t="shared" ca="1" si="8"/>
        <v>31.755892072860888</v>
      </c>
      <c r="N41" s="59">
        <f t="shared" ca="1" si="8"/>
        <v>26.362318533258517</v>
      </c>
      <c r="O41" s="59">
        <f t="shared" ca="1" si="8"/>
        <v>21.171381229774742</v>
      </c>
      <c r="P41" s="59">
        <f t="shared" ca="1" si="8"/>
        <v>16.17541415518653</v>
      </c>
      <c r="Q41" s="56">
        <f t="shared" ref="Q41:Q50" ca="1" si="9">MAX($G$2*(Q21-$G$3),0)</f>
        <v>11.367041300073353</v>
      </c>
    </row>
    <row r="42" spans="1:17" x14ac:dyDescent="0.2">
      <c r="A42" s="49">
        <v>9</v>
      </c>
      <c r="B42" s="59" t="str">
        <f t="shared" ref="B42:P42" si="10">IF($A42 &lt;= B$35, ($B$10*C41+$B$11*C42)/EXP($B$6 * $B$3/$B$5),"")</f>
        <v/>
      </c>
      <c r="C42" s="59" t="str">
        <f t="shared" si="10"/>
        <v/>
      </c>
      <c r="D42" s="59" t="str">
        <f t="shared" si="10"/>
        <v/>
      </c>
      <c r="E42" s="59" t="str">
        <f t="shared" si="10"/>
        <v/>
      </c>
      <c r="F42" s="59" t="str">
        <f t="shared" si="10"/>
        <v/>
      </c>
      <c r="G42" s="59" t="str">
        <f t="shared" si="10"/>
        <v/>
      </c>
      <c r="H42" s="59" t="str">
        <f t="shared" si="10"/>
        <v/>
      </c>
      <c r="I42" s="59" t="str">
        <f t="shared" si="10"/>
        <v/>
      </c>
      <c r="J42" s="59" t="str">
        <f t="shared" si="10"/>
        <v/>
      </c>
      <c r="K42" s="59">
        <f t="shared" ca="1" si="10"/>
        <v>31.781908045720105</v>
      </c>
      <c r="L42" s="59">
        <f t="shared" ca="1" si="10"/>
        <v>26.390144266223512</v>
      </c>
      <c r="M42" s="59">
        <f t="shared" ca="1" si="10"/>
        <v>21.200949192757761</v>
      </c>
      <c r="N42" s="59">
        <f t="shared" ca="1" si="10"/>
        <v>16.206659373011082</v>
      </c>
      <c r="O42" s="59">
        <f t="shared" ca="1" si="10"/>
        <v>11.399901255824371</v>
      </c>
      <c r="P42" s="59">
        <f t="shared" ca="1" si="10"/>
        <v>6.773580224498887</v>
      </c>
      <c r="Q42" s="56">
        <f t="shared" ca="1" si="9"/>
        <v>2.3208700449637121</v>
      </c>
    </row>
    <row r="43" spans="1:17" x14ac:dyDescent="0.2">
      <c r="A43" s="49">
        <v>8</v>
      </c>
      <c r="B43" s="59" t="str">
        <f t="shared" ref="B43:P43" si="11">IF($A43 &lt;= B$35, ($B$10*C42+$B$11*C43)/EXP($B$6 * $B$3/$B$5),"")</f>
        <v/>
      </c>
      <c r="C43" s="59" t="str">
        <f t="shared" si="11"/>
        <v/>
      </c>
      <c r="D43" s="59" t="str">
        <f t="shared" si="11"/>
        <v/>
      </c>
      <c r="E43" s="59" t="str">
        <f t="shared" si="11"/>
        <v/>
      </c>
      <c r="F43" s="59" t="str">
        <f t="shared" si="11"/>
        <v/>
      </c>
      <c r="G43" s="59" t="str">
        <f t="shared" si="11"/>
        <v/>
      </c>
      <c r="H43" s="59" t="str">
        <f t="shared" si="11"/>
        <v/>
      </c>
      <c r="I43" s="59" t="str">
        <f t="shared" si="11"/>
        <v/>
      </c>
      <c r="J43" s="59">
        <f t="shared" ca="1" si="11"/>
        <v>26.470302195546125</v>
      </c>
      <c r="K43" s="59">
        <f t="shared" ca="1" si="11"/>
        <v>21.333695182818008</v>
      </c>
      <c r="L43" s="59">
        <f t="shared" ca="1" si="11"/>
        <v>16.441299527988726</v>
      </c>
      <c r="M43" s="59">
        <f t="shared" ca="1" si="11"/>
        <v>11.833682642407446</v>
      </c>
      <c r="N43" s="59">
        <f t="shared" ca="1" si="11"/>
        <v>7.5982382983552608</v>
      </c>
      <c r="O43" s="59">
        <f t="shared" ca="1" si="11"/>
        <v>3.9143729754279279</v>
      </c>
      <c r="P43" s="59">
        <f t="shared" ca="1" si="11"/>
        <v>1.1425780656973441</v>
      </c>
      <c r="Q43" s="56">
        <f t="shared" ca="1" si="9"/>
        <v>0</v>
      </c>
    </row>
    <row r="44" spans="1:17" x14ac:dyDescent="0.2">
      <c r="A44" s="49">
        <v>7</v>
      </c>
      <c r="B44" s="59" t="str">
        <f t="shared" ref="B44:P44" si="12">IF($A44 &lt;= B$35, ($B$10*C43+$B$11*C44)/EXP($B$6 * $B$3/$B$5),"")</f>
        <v/>
      </c>
      <c r="C44" s="59" t="str">
        <f t="shared" si="12"/>
        <v/>
      </c>
      <c r="D44" s="59" t="str">
        <f t="shared" si="12"/>
        <v/>
      </c>
      <c r="E44" s="59" t="str">
        <f t="shared" si="12"/>
        <v/>
      </c>
      <c r="F44" s="59" t="str">
        <f t="shared" si="12"/>
        <v/>
      </c>
      <c r="G44" s="59" t="str">
        <f t="shared" si="12"/>
        <v/>
      </c>
      <c r="H44" s="59" t="str">
        <f t="shared" si="12"/>
        <v/>
      </c>
      <c r="I44" s="59">
        <f t="shared" ca="1" si="12"/>
        <v>21.526809809516344</v>
      </c>
      <c r="J44" s="59">
        <f t="shared" ca="1" si="12"/>
        <v>16.74414595044718</v>
      </c>
      <c r="K44" s="59">
        <f t="shared" ca="1" si="12"/>
        <v>12.301781055003142</v>
      </c>
      <c r="L44" s="59">
        <f t="shared" ca="1" si="12"/>
        <v>8.2931750658147259</v>
      </c>
      <c r="M44" s="59">
        <f t="shared" ca="1" si="12"/>
        <v>4.863172373064474</v>
      </c>
      <c r="N44" s="59">
        <f t="shared" ca="1" si="12"/>
        <v>2.212458403020396</v>
      </c>
      <c r="O44" s="59">
        <f t="shared" ca="1" si="12"/>
        <v>0.5624979472873054</v>
      </c>
      <c r="P44" s="59">
        <f t="shared" ca="1" si="12"/>
        <v>0</v>
      </c>
      <c r="Q44" s="56">
        <f t="shared" ca="1" si="9"/>
        <v>0</v>
      </c>
    </row>
    <row r="45" spans="1:17" x14ac:dyDescent="0.2">
      <c r="A45" s="49">
        <v>6</v>
      </c>
      <c r="B45" s="59" t="str">
        <f t="shared" ref="B45:P45" si="13">IF($A45 &lt;= B$35, ($B$10*C44+$B$11*C45)/EXP($B$6 * $B$3/$B$5),"")</f>
        <v/>
      </c>
      <c r="C45" s="59" t="str">
        <f t="shared" si="13"/>
        <v/>
      </c>
      <c r="D45" s="59" t="str">
        <f t="shared" si="13"/>
        <v/>
      </c>
      <c r="E45" s="59" t="str">
        <f t="shared" si="13"/>
        <v/>
      </c>
      <c r="F45" s="59" t="str">
        <f t="shared" si="13"/>
        <v/>
      </c>
      <c r="G45" s="59" t="str">
        <f t="shared" si="13"/>
        <v/>
      </c>
      <c r="H45" s="59">
        <f t="shared" ca="1" si="13"/>
        <v>17.072245928651149</v>
      </c>
      <c r="I45" s="59">
        <f t="shared" ca="1" si="13"/>
        <v>12.761076498343078</v>
      </c>
      <c r="J45" s="59">
        <f t="shared" ca="1" si="13"/>
        <v>8.9045789341432044</v>
      </c>
      <c r="K45" s="59">
        <f t="shared" ca="1" si="13"/>
        <v>5.6140310270399505</v>
      </c>
      <c r="L45" s="59">
        <f t="shared" ca="1" si="13"/>
        <v>3.0180728054098336</v>
      </c>
      <c r="M45" s="59">
        <f t="shared" ca="1" si="13"/>
        <v>1.2297052683823446</v>
      </c>
      <c r="N45" s="59">
        <f t="shared" ca="1" si="13"/>
        <v>0.27692107016716005</v>
      </c>
      <c r="O45" s="59">
        <f t="shared" ca="1" si="13"/>
        <v>0</v>
      </c>
      <c r="P45" s="59">
        <f t="shared" ca="1" si="13"/>
        <v>0</v>
      </c>
      <c r="Q45" s="56">
        <f t="shared" ca="1" si="9"/>
        <v>0</v>
      </c>
    </row>
    <row r="46" spans="1:17" x14ac:dyDescent="0.2">
      <c r="A46" s="49">
        <v>5</v>
      </c>
      <c r="B46" s="59" t="str">
        <f t="shared" ref="B46:P46" si="14">IF($A46 &lt;= B$35, ($B$10*C45+$B$11*C46)/EXP($B$6 * $B$3/$B$5),"")</f>
        <v/>
      </c>
      <c r="C46" s="59" t="str">
        <f t="shared" si="14"/>
        <v/>
      </c>
      <c r="D46" s="59" t="str">
        <f t="shared" si="14"/>
        <v/>
      </c>
      <c r="E46" s="59" t="str">
        <f t="shared" si="14"/>
        <v/>
      </c>
      <c r="F46" s="59" t="str">
        <f t="shared" si="14"/>
        <v/>
      </c>
      <c r="G46" s="59">
        <f t="shared" ca="1" si="14"/>
        <v>13.202730592989127</v>
      </c>
      <c r="H46" s="59">
        <f t="shared" ca="1" si="14"/>
        <v>9.4567077783335129</v>
      </c>
      <c r="I46" s="59">
        <f t="shared" ca="1" si="14"/>
        <v>6.2566013186723382</v>
      </c>
      <c r="J46" s="59">
        <f t="shared" ca="1" si="14"/>
        <v>3.6913068162590625</v>
      </c>
      <c r="K46" s="59">
        <f t="shared" ca="1" si="14"/>
        <v>1.8280602238499948</v>
      </c>
      <c r="L46" s="59">
        <f t="shared" ca="1" si="14"/>
        <v>0.67455962348776044</v>
      </c>
      <c r="M46" s="59">
        <f t="shared" ca="1" si="14"/>
        <v>0.13632988257529918</v>
      </c>
      <c r="N46" s="59">
        <f t="shared" ca="1" si="14"/>
        <v>0</v>
      </c>
      <c r="O46" s="59">
        <f t="shared" ca="1" si="14"/>
        <v>0</v>
      </c>
      <c r="P46" s="59">
        <f t="shared" ca="1" si="14"/>
        <v>0</v>
      </c>
      <c r="Q46" s="56">
        <f t="shared" ca="1" si="9"/>
        <v>0</v>
      </c>
    </row>
    <row r="47" spans="1:17" x14ac:dyDescent="0.2">
      <c r="A47" s="49">
        <v>4</v>
      </c>
      <c r="B47" s="59" t="str">
        <f t="shared" ref="B47:P47" si="15">IF($A47 &lt;= B$35, ($B$10*C46+$B$11*C47)/EXP($B$6 * $B$3/$B$5),"")</f>
        <v/>
      </c>
      <c r="C47" s="59" t="str">
        <f t="shared" si="15"/>
        <v/>
      </c>
      <c r="D47" s="59" t="str">
        <f t="shared" si="15"/>
        <v/>
      </c>
      <c r="E47" s="59" t="str">
        <f t="shared" si="15"/>
        <v/>
      </c>
      <c r="F47" s="59">
        <f t="shared" ca="1" si="15"/>
        <v>9.9640082516547004</v>
      </c>
      <c r="G47" s="59">
        <f t="shared" ca="1" si="15"/>
        <v>6.8279334886721434</v>
      </c>
      <c r="H47" s="59">
        <f t="shared" ca="1" si="15"/>
        <v>4.2816477928254626</v>
      </c>
      <c r="I47" s="59">
        <f t="shared" ca="1" si="15"/>
        <v>2.3681094681941879</v>
      </c>
      <c r="J47" s="59">
        <f t="shared" ca="1" si="15"/>
        <v>1.0857308334168754</v>
      </c>
      <c r="K47" s="59">
        <f t="shared" ca="1" si="15"/>
        <v>0.36614172870854578</v>
      </c>
      <c r="L47" s="59">
        <f t="shared" ca="1" si="15"/>
        <v>6.711600844159582E-2</v>
      </c>
      <c r="M47" s="59">
        <f t="shared" ca="1" si="15"/>
        <v>0</v>
      </c>
      <c r="N47" s="59">
        <f t="shared" ca="1" si="15"/>
        <v>0</v>
      </c>
      <c r="O47" s="59">
        <f t="shared" ca="1" si="15"/>
        <v>0</v>
      </c>
      <c r="P47" s="59">
        <f t="shared" ca="1" si="15"/>
        <v>0</v>
      </c>
      <c r="Q47" s="56">
        <f t="shared" ca="1" si="9"/>
        <v>0</v>
      </c>
    </row>
    <row r="48" spans="1:17" x14ac:dyDescent="0.2">
      <c r="A48" s="49">
        <v>3</v>
      </c>
      <c r="B48" s="59" t="str">
        <f t="shared" ref="B48:O48" si="16">IF($A48 &lt;= B$35, ($B$10*C47+$B$11*C48)/EXP($B$6 * $B$3/$B$5),"")</f>
        <v/>
      </c>
      <c r="C48" s="59" t="str">
        <f t="shared" si="16"/>
        <v/>
      </c>
      <c r="D48" s="59" t="str">
        <f t="shared" si="16"/>
        <v/>
      </c>
      <c r="E48" s="59">
        <f t="shared" ca="1" si="16"/>
        <v>7.3477013896336505</v>
      </c>
      <c r="F48" s="59">
        <f t="shared" ca="1" si="16"/>
        <v>4.8138546041904728</v>
      </c>
      <c r="G48" s="59">
        <f t="shared" ca="1" si="16"/>
        <v>2.862701483564825</v>
      </c>
      <c r="H48" s="59">
        <f t="shared" ca="1" si="16"/>
        <v>1.4877399296127327</v>
      </c>
      <c r="I48" s="59">
        <f t="shared" ca="1" si="16"/>
        <v>0.63447080570174352</v>
      </c>
      <c r="J48" s="59">
        <f t="shared" ca="1" si="16"/>
        <v>0.19701775796333756</v>
      </c>
      <c r="K48" s="59">
        <f t="shared" ca="1" si="16"/>
        <v>3.3041608369642331E-2</v>
      </c>
      <c r="L48" s="59">
        <f t="shared" ca="1" si="16"/>
        <v>0</v>
      </c>
      <c r="M48" s="59">
        <f t="shared" ca="1" si="16"/>
        <v>0</v>
      </c>
      <c r="N48" s="59">
        <f t="shared" ca="1" si="16"/>
        <v>0</v>
      </c>
      <c r="O48" s="59">
        <f t="shared" ca="1" si="16"/>
        <v>0</v>
      </c>
      <c r="P48" s="59">
        <f ca="1">IF($A48 &lt;= P$35, ($B$10*Q47+$B$11*Q48)/EXP($B$6 * $B$3/$B$5),"")</f>
        <v>0</v>
      </c>
      <c r="Q48" s="56">
        <f t="shared" ca="1" si="9"/>
        <v>0</v>
      </c>
    </row>
    <row r="49" spans="1:17" x14ac:dyDescent="0.2">
      <c r="A49" s="49">
        <v>2</v>
      </c>
      <c r="B49" s="59" t="str">
        <f t="shared" ref="B49:P49" si="17">IF($A49 &lt;= B$35, ($B$10*C48+$B$11*C49)/EXP($B$6 * $B$3/$B$5),"")</f>
        <v/>
      </c>
      <c r="C49" s="59" t="str">
        <f t="shared" si="17"/>
        <v/>
      </c>
      <c r="D49" s="59">
        <f t="shared" ca="1" si="17"/>
        <v>5.3023788150350546</v>
      </c>
      <c r="E49" s="59">
        <f t="shared" ca="1" si="17"/>
        <v>3.3212300003120494</v>
      </c>
      <c r="F49" s="59">
        <f t="shared" ca="1" si="17"/>
        <v>1.8750776029245009</v>
      </c>
      <c r="G49" s="59">
        <f t="shared" ca="1" si="17"/>
        <v>0.91799112350701795</v>
      </c>
      <c r="H49" s="59">
        <f t="shared" ca="1" si="17"/>
        <v>0.36575144645018176</v>
      </c>
      <c r="I49" s="59">
        <f t="shared" ca="1" si="17"/>
        <v>0.1052460336238224</v>
      </c>
      <c r="J49" s="59">
        <f t="shared" ca="1" si="17"/>
        <v>1.6266579449563875E-2</v>
      </c>
      <c r="K49" s="59">
        <f t="shared" ca="1" si="17"/>
        <v>0</v>
      </c>
      <c r="L49" s="59">
        <f t="shared" ca="1" si="17"/>
        <v>0</v>
      </c>
      <c r="M49" s="59">
        <f t="shared" ca="1" si="17"/>
        <v>0</v>
      </c>
      <c r="N49" s="59">
        <f t="shared" ca="1" si="17"/>
        <v>0</v>
      </c>
      <c r="O49" s="59">
        <f t="shared" ca="1" si="17"/>
        <v>0</v>
      </c>
      <c r="P49" s="59">
        <f t="shared" ca="1" si="17"/>
        <v>0</v>
      </c>
      <c r="Q49" s="56">
        <f t="shared" ca="1" si="9"/>
        <v>0</v>
      </c>
    </row>
    <row r="50" spans="1:17" x14ac:dyDescent="0.2">
      <c r="A50" s="49">
        <v>1</v>
      </c>
      <c r="B50" s="59" t="str">
        <f t="shared" ref="B50:P50" si="18">IF($A50 &lt;= B$35, ($B$10*C49+$B$11*C50)/EXP($B$6 * $B$3/$B$5),"")</f>
        <v/>
      </c>
      <c r="C50" s="59">
        <f t="shared" ca="1" si="18"/>
        <v>3.750414491195559</v>
      </c>
      <c r="D50" s="59">
        <f t="shared" ca="1" si="18"/>
        <v>2.2469650819058313</v>
      </c>
      <c r="E50" s="59">
        <f t="shared" ca="1" si="18"/>
        <v>1.2060527452135705</v>
      </c>
      <c r="F50" s="59">
        <f t="shared" ca="1" si="18"/>
        <v>0.55767205091412142</v>
      </c>
      <c r="G50" s="59">
        <f t="shared" ca="1" si="18"/>
        <v>0.20841102608188006</v>
      </c>
      <c r="H50" s="59">
        <f t="shared" ca="1" si="18"/>
        <v>5.5876258512764912E-2</v>
      </c>
      <c r="I50" s="59">
        <f t="shared" ca="1" si="18"/>
        <v>8.0081333822745165E-3</v>
      </c>
      <c r="J50" s="59">
        <f t="shared" ca="1" si="18"/>
        <v>0</v>
      </c>
      <c r="K50" s="59">
        <f t="shared" ca="1" si="18"/>
        <v>0</v>
      </c>
      <c r="L50" s="59">
        <f t="shared" ca="1" si="18"/>
        <v>0</v>
      </c>
      <c r="M50" s="59">
        <f t="shared" ca="1" si="18"/>
        <v>0</v>
      </c>
      <c r="N50" s="59">
        <f t="shared" ca="1" si="18"/>
        <v>0</v>
      </c>
      <c r="O50" s="59">
        <f t="shared" ca="1" si="18"/>
        <v>0</v>
      </c>
      <c r="P50" s="59">
        <f t="shared" ca="1" si="18"/>
        <v>0</v>
      </c>
      <c r="Q50" s="56">
        <f t="shared" ca="1" si="9"/>
        <v>0</v>
      </c>
    </row>
    <row r="51" spans="1:17" x14ac:dyDescent="0.2">
      <c r="A51" s="49">
        <v>0</v>
      </c>
      <c r="B51" s="59">
        <f t="shared" ref="B51:P51" ca="1" si="19">IF($A51 &lt;= B$35, ($B$10*C50+$B$11*C51)/EXP($B$6 * $B$3/$B$5),"")</f>
        <v>2.6040771329665637</v>
      </c>
      <c r="C51" s="59">
        <f t="shared" ca="1" si="19"/>
        <v>1.4934655382510746</v>
      </c>
      <c r="D51" s="59">
        <f t="shared" ca="1" si="19"/>
        <v>0.76330556633299396</v>
      </c>
      <c r="E51" s="59">
        <f t="shared" ca="1" si="19"/>
        <v>0.33419739593673542</v>
      </c>
      <c r="F51" s="59">
        <f t="shared" ca="1" si="19"/>
        <v>0.1175734172242906</v>
      </c>
      <c r="G51" s="59">
        <f t="shared" ca="1" si="19"/>
        <v>2.9508458267588761E-2</v>
      </c>
      <c r="H51" s="59">
        <f t="shared" ca="1" si="19"/>
        <v>3.9424514826329323E-3</v>
      </c>
      <c r="I51" s="59">
        <f t="shared" ca="1" si="19"/>
        <v>0</v>
      </c>
      <c r="J51" s="59">
        <f t="shared" ca="1" si="19"/>
        <v>0</v>
      </c>
      <c r="K51" s="59">
        <f t="shared" ca="1" si="19"/>
        <v>0</v>
      </c>
      <c r="L51" s="59">
        <f t="shared" ca="1" si="19"/>
        <v>0</v>
      </c>
      <c r="M51" s="59">
        <f t="shared" ca="1" si="19"/>
        <v>0</v>
      </c>
      <c r="N51" s="59">
        <f t="shared" ca="1" si="19"/>
        <v>0</v>
      </c>
      <c r="O51" s="59">
        <f t="shared" ca="1" si="19"/>
        <v>0</v>
      </c>
      <c r="P51" s="59">
        <f t="shared" ca="1" si="19"/>
        <v>0</v>
      </c>
      <c r="Q51" s="56">
        <f ca="1">MAX($G$2*(Q31-$G$3),0)</f>
        <v>0</v>
      </c>
    </row>
  </sheetData>
  <mergeCells count="2">
    <mergeCell ref="A1:B1"/>
    <mergeCell ref="F1:G1"/>
  </mergeCells>
  <dataValidations count="1">
    <dataValidation type="list" allowBlank="1" showInputMessage="1" showErrorMessage="1" sqref="G2">
      <formula1>"1, -1"</formula1>
    </dataValidation>
  </dataValidations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X46"/>
  <sheetViews>
    <sheetView showGridLines="0" workbookViewId="0">
      <selection activeCell="L33" sqref="L33"/>
    </sheetView>
  </sheetViews>
  <sheetFormatPr baseColWidth="10" defaultColWidth="9.140625" defaultRowHeight="12.75" x14ac:dyDescent="0.2"/>
  <cols>
    <col min="1" max="5" width="9.140625" style="49"/>
    <col min="6" max="6" width="9.28515625" style="49" customWidth="1"/>
    <col min="7" max="7" width="8.28515625" style="49" bestFit="1" customWidth="1"/>
    <col min="8" max="262" width="9.140625" style="49"/>
    <col min="263" max="263" width="8.28515625" style="49" bestFit="1" customWidth="1"/>
    <col min="264" max="518" width="9.140625" style="49"/>
    <col min="519" max="519" width="8.28515625" style="49" bestFit="1" customWidth="1"/>
    <col min="520" max="774" width="9.140625" style="49"/>
    <col min="775" max="775" width="8.28515625" style="49" bestFit="1" customWidth="1"/>
    <col min="776" max="1030" width="9.140625" style="49"/>
    <col min="1031" max="1031" width="8.28515625" style="49" bestFit="1" customWidth="1"/>
    <col min="1032" max="1286" width="9.140625" style="49"/>
    <col min="1287" max="1287" width="8.28515625" style="49" bestFit="1" customWidth="1"/>
    <col min="1288" max="1542" width="9.140625" style="49"/>
    <col min="1543" max="1543" width="8.28515625" style="49" bestFit="1" customWidth="1"/>
    <col min="1544" max="1798" width="9.140625" style="49"/>
    <col min="1799" max="1799" width="8.28515625" style="49" bestFit="1" customWidth="1"/>
    <col min="1800" max="2054" width="9.140625" style="49"/>
    <col min="2055" max="2055" width="8.28515625" style="49" bestFit="1" customWidth="1"/>
    <col min="2056" max="2310" width="9.140625" style="49"/>
    <col min="2311" max="2311" width="8.28515625" style="49" bestFit="1" customWidth="1"/>
    <col min="2312" max="2566" width="9.140625" style="49"/>
    <col min="2567" max="2567" width="8.28515625" style="49" bestFit="1" customWidth="1"/>
    <col min="2568" max="2822" width="9.140625" style="49"/>
    <col min="2823" max="2823" width="8.28515625" style="49" bestFit="1" customWidth="1"/>
    <col min="2824" max="3078" width="9.140625" style="49"/>
    <col min="3079" max="3079" width="8.28515625" style="49" bestFit="1" customWidth="1"/>
    <col min="3080" max="3334" width="9.140625" style="49"/>
    <col min="3335" max="3335" width="8.28515625" style="49" bestFit="1" customWidth="1"/>
    <col min="3336" max="3590" width="9.140625" style="49"/>
    <col min="3591" max="3591" width="8.28515625" style="49" bestFit="1" customWidth="1"/>
    <col min="3592" max="3846" width="9.140625" style="49"/>
    <col min="3847" max="3847" width="8.28515625" style="49" bestFit="1" customWidth="1"/>
    <col min="3848" max="4102" width="9.140625" style="49"/>
    <col min="4103" max="4103" width="8.28515625" style="49" bestFit="1" customWidth="1"/>
    <col min="4104" max="4358" width="9.140625" style="49"/>
    <col min="4359" max="4359" width="8.28515625" style="49" bestFit="1" customWidth="1"/>
    <col min="4360" max="4614" width="9.140625" style="49"/>
    <col min="4615" max="4615" width="8.28515625" style="49" bestFit="1" customWidth="1"/>
    <col min="4616" max="4870" width="9.140625" style="49"/>
    <col min="4871" max="4871" width="8.28515625" style="49" bestFit="1" customWidth="1"/>
    <col min="4872" max="5126" width="9.140625" style="49"/>
    <col min="5127" max="5127" width="8.28515625" style="49" bestFit="1" customWidth="1"/>
    <col min="5128" max="5382" width="9.140625" style="49"/>
    <col min="5383" max="5383" width="8.28515625" style="49" bestFit="1" customWidth="1"/>
    <col min="5384" max="5638" width="9.140625" style="49"/>
    <col min="5639" max="5639" width="8.28515625" style="49" bestFit="1" customWidth="1"/>
    <col min="5640" max="5894" width="9.140625" style="49"/>
    <col min="5895" max="5895" width="8.28515625" style="49" bestFit="1" customWidth="1"/>
    <col min="5896" max="6150" width="9.140625" style="49"/>
    <col min="6151" max="6151" width="8.28515625" style="49" bestFit="1" customWidth="1"/>
    <col min="6152" max="6406" width="9.140625" style="49"/>
    <col min="6407" max="6407" width="8.28515625" style="49" bestFit="1" customWidth="1"/>
    <col min="6408" max="6662" width="9.140625" style="49"/>
    <col min="6663" max="6663" width="8.28515625" style="49" bestFit="1" customWidth="1"/>
    <col min="6664" max="6918" width="9.140625" style="49"/>
    <col min="6919" max="6919" width="8.28515625" style="49" bestFit="1" customWidth="1"/>
    <col min="6920" max="7174" width="9.140625" style="49"/>
    <col min="7175" max="7175" width="8.28515625" style="49" bestFit="1" customWidth="1"/>
    <col min="7176" max="7430" width="9.140625" style="49"/>
    <col min="7431" max="7431" width="8.28515625" style="49" bestFit="1" customWidth="1"/>
    <col min="7432" max="7686" width="9.140625" style="49"/>
    <col min="7687" max="7687" width="8.28515625" style="49" bestFit="1" customWidth="1"/>
    <col min="7688" max="7942" width="9.140625" style="49"/>
    <col min="7943" max="7943" width="8.28515625" style="49" bestFit="1" customWidth="1"/>
    <col min="7944" max="8198" width="9.140625" style="49"/>
    <col min="8199" max="8199" width="8.28515625" style="49" bestFit="1" customWidth="1"/>
    <col min="8200" max="8454" width="9.140625" style="49"/>
    <col min="8455" max="8455" width="8.28515625" style="49" bestFit="1" customWidth="1"/>
    <col min="8456" max="8710" width="9.140625" style="49"/>
    <col min="8711" max="8711" width="8.28515625" style="49" bestFit="1" customWidth="1"/>
    <col min="8712" max="8966" width="9.140625" style="49"/>
    <col min="8967" max="8967" width="8.28515625" style="49" bestFit="1" customWidth="1"/>
    <col min="8968" max="9222" width="9.140625" style="49"/>
    <col min="9223" max="9223" width="8.28515625" style="49" bestFit="1" customWidth="1"/>
    <col min="9224" max="9478" width="9.140625" style="49"/>
    <col min="9479" max="9479" width="8.28515625" style="49" bestFit="1" customWidth="1"/>
    <col min="9480" max="9734" width="9.140625" style="49"/>
    <col min="9735" max="9735" width="8.28515625" style="49" bestFit="1" customWidth="1"/>
    <col min="9736" max="9990" width="9.140625" style="49"/>
    <col min="9991" max="9991" width="8.28515625" style="49" bestFit="1" customWidth="1"/>
    <col min="9992" max="10246" width="9.140625" style="49"/>
    <col min="10247" max="10247" width="8.28515625" style="49" bestFit="1" customWidth="1"/>
    <col min="10248" max="10502" width="9.140625" style="49"/>
    <col min="10503" max="10503" width="8.28515625" style="49" bestFit="1" customWidth="1"/>
    <col min="10504" max="10758" width="9.140625" style="49"/>
    <col min="10759" max="10759" width="8.28515625" style="49" bestFit="1" customWidth="1"/>
    <col min="10760" max="11014" width="9.140625" style="49"/>
    <col min="11015" max="11015" width="8.28515625" style="49" bestFit="1" customWidth="1"/>
    <col min="11016" max="11270" width="9.140625" style="49"/>
    <col min="11271" max="11271" width="8.28515625" style="49" bestFit="1" customWidth="1"/>
    <col min="11272" max="11526" width="9.140625" style="49"/>
    <col min="11527" max="11527" width="8.28515625" style="49" bestFit="1" customWidth="1"/>
    <col min="11528" max="11782" width="9.140625" style="49"/>
    <col min="11783" max="11783" width="8.28515625" style="49" bestFit="1" customWidth="1"/>
    <col min="11784" max="12038" width="9.140625" style="49"/>
    <col min="12039" max="12039" width="8.28515625" style="49" bestFit="1" customWidth="1"/>
    <col min="12040" max="12294" width="9.140625" style="49"/>
    <col min="12295" max="12295" width="8.28515625" style="49" bestFit="1" customWidth="1"/>
    <col min="12296" max="12550" width="9.140625" style="49"/>
    <col min="12551" max="12551" width="8.28515625" style="49" bestFit="1" customWidth="1"/>
    <col min="12552" max="12806" width="9.140625" style="49"/>
    <col min="12807" max="12807" width="8.28515625" style="49" bestFit="1" customWidth="1"/>
    <col min="12808" max="13062" width="9.140625" style="49"/>
    <col min="13063" max="13063" width="8.28515625" style="49" bestFit="1" customWidth="1"/>
    <col min="13064" max="13318" width="9.140625" style="49"/>
    <col min="13319" max="13319" width="8.28515625" style="49" bestFit="1" customWidth="1"/>
    <col min="13320" max="13574" width="9.140625" style="49"/>
    <col min="13575" max="13575" width="8.28515625" style="49" bestFit="1" customWidth="1"/>
    <col min="13576" max="13830" width="9.140625" style="49"/>
    <col min="13831" max="13831" width="8.28515625" style="49" bestFit="1" customWidth="1"/>
    <col min="13832" max="14086" width="9.140625" style="49"/>
    <col min="14087" max="14087" width="8.28515625" style="49" bestFit="1" customWidth="1"/>
    <col min="14088" max="14342" width="9.140625" style="49"/>
    <col min="14343" max="14343" width="8.28515625" style="49" bestFit="1" customWidth="1"/>
    <col min="14344" max="14598" width="9.140625" style="49"/>
    <col min="14599" max="14599" width="8.28515625" style="49" bestFit="1" customWidth="1"/>
    <col min="14600" max="14854" width="9.140625" style="49"/>
    <col min="14855" max="14855" width="8.28515625" style="49" bestFit="1" customWidth="1"/>
    <col min="14856" max="15110" width="9.140625" style="49"/>
    <col min="15111" max="15111" width="8.28515625" style="49" bestFit="1" customWidth="1"/>
    <col min="15112" max="15366" width="9.140625" style="49"/>
    <col min="15367" max="15367" width="8.28515625" style="49" bestFit="1" customWidth="1"/>
    <col min="15368" max="15622" width="9.140625" style="49"/>
    <col min="15623" max="15623" width="8.28515625" style="49" bestFit="1" customWidth="1"/>
    <col min="15624" max="15878" width="9.140625" style="49"/>
    <col min="15879" max="15879" width="8.28515625" style="49" bestFit="1" customWidth="1"/>
    <col min="15880" max="16134" width="9.140625" style="49"/>
    <col min="16135" max="16135" width="8.28515625" style="49" bestFit="1" customWidth="1"/>
    <col min="16136" max="16384" width="9.140625" style="49"/>
  </cols>
  <sheetData>
    <row r="1" spans="1:23" ht="13.5" thickBot="1" x14ac:dyDescent="0.25">
      <c r="A1" s="75" t="s">
        <v>0</v>
      </c>
      <c r="B1" s="76"/>
      <c r="F1" s="75" t="s">
        <v>1</v>
      </c>
      <c r="G1" s="76"/>
    </row>
    <row r="2" spans="1:23" x14ac:dyDescent="0.2">
      <c r="A2" s="3" t="s">
        <v>2</v>
      </c>
      <c r="B2" s="4">
        <v>100</v>
      </c>
      <c r="F2" s="50" t="s">
        <v>20</v>
      </c>
      <c r="G2" s="42">
        <v>1</v>
      </c>
    </row>
    <row r="3" spans="1:23" ht="15.75" thickBot="1" x14ac:dyDescent="0.3">
      <c r="A3" s="7" t="s">
        <v>4</v>
      </c>
      <c r="B3" s="8">
        <v>0.25</v>
      </c>
      <c r="F3" s="51" t="s">
        <v>3</v>
      </c>
      <c r="G3" s="52">
        <v>100</v>
      </c>
    </row>
    <row r="4" spans="1:23" ht="15" x14ac:dyDescent="0.25">
      <c r="A4" s="7" t="s">
        <v>5</v>
      </c>
      <c r="B4" s="10">
        <v>0.23438000000000001</v>
      </c>
    </row>
    <row r="5" spans="1:23" x14ac:dyDescent="0.2">
      <c r="A5" s="7" t="s">
        <v>6</v>
      </c>
      <c r="B5" s="11">
        <v>10</v>
      </c>
    </row>
    <row r="6" spans="1:23" ht="15" x14ac:dyDescent="0.25">
      <c r="A6" s="7" t="s">
        <v>23</v>
      </c>
      <c r="B6" s="46">
        <v>0.11941</v>
      </c>
    </row>
    <row r="7" spans="1:23" ht="15.75" thickBot="1" x14ac:dyDescent="0.3">
      <c r="A7" s="47" t="s">
        <v>24</v>
      </c>
      <c r="B7" s="48">
        <v>0</v>
      </c>
    </row>
    <row r="8" spans="1:23" x14ac:dyDescent="0.2">
      <c r="A8" s="13" t="s">
        <v>8</v>
      </c>
      <c r="B8" s="14">
        <f>EXP(B4*SQRT(B3/B5))</f>
        <v>1.0377539683101453</v>
      </c>
    </row>
    <row r="9" spans="1:23" x14ac:dyDescent="0.2">
      <c r="A9" s="15" t="s">
        <v>9</v>
      </c>
      <c r="B9" s="16">
        <f>1/B8</f>
        <v>0.9636195384811459</v>
      </c>
    </row>
    <row r="10" spans="1:23" x14ac:dyDescent="0.2">
      <c r="A10" s="15" t="s">
        <v>10</v>
      </c>
      <c r="B10" s="18">
        <f>(EXP((B6 - B7) * B3/B5) - B9) / (B8 - B9)</f>
        <v>0.53106460663027533</v>
      </c>
    </row>
    <row r="11" spans="1:23" ht="13.5" thickBot="1" x14ac:dyDescent="0.25">
      <c r="A11" s="19" t="s">
        <v>11</v>
      </c>
      <c r="B11" s="20">
        <f>1 - B10</f>
        <v>0.46893539336972467</v>
      </c>
    </row>
    <row r="14" spans="1:23" x14ac:dyDescent="0.2">
      <c r="A14" s="53" t="s">
        <v>33</v>
      </c>
      <c r="M14" s="53"/>
    </row>
    <row r="15" spans="1:23" x14ac:dyDescent="0.2">
      <c r="B15" s="54">
        <v>0</v>
      </c>
      <c r="C15" s="54">
        <v>1</v>
      </c>
      <c r="D15" s="54">
        <v>2</v>
      </c>
      <c r="E15" s="54">
        <v>3</v>
      </c>
      <c r="F15" s="54">
        <v>4</v>
      </c>
      <c r="G15" s="54">
        <v>5</v>
      </c>
      <c r="H15" s="54">
        <v>6</v>
      </c>
      <c r="I15" s="54">
        <v>7</v>
      </c>
      <c r="J15" s="54">
        <v>8</v>
      </c>
      <c r="K15" s="54">
        <v>9</v>
      </c>
      <c r="L15" s="49">
        <v>10</v>
      </c>
      <c r="N15" s="54"/>
      <c r="O15" s="54"/>
      <c r="P15" s="54"/>
      <c r="Q15" s="54"/>
      <c r="R15" s="54"/>
      <c r="S15" s="54"/>
      <c r="T15" s="54"/>
      <c r="U15" s="54"/>
      <c r="V15" s="54"/>
      <c r="W15" s="54"/>
    </row>
    <row r="16" spans="1:23" x14ac:dyDescent="0.2">
      <c r="A16" s="49">
        <v>10</v>
      </c>
      <c r="B16" s="54"/>
      <c r="C16" s="55" t="str">
        <f t="shared" ref="C16:L26" ca="1" si="0">IF($A16&lt;C$15,$B$9*OFFSET(C16,0,-1),IF($A16=C$15,$B$8*OFFSET(C16,1,-1),""))</f>
        <v/>
      </c>
      <c r="D16" s="55" t="str">
        <f t="shared" ca="1" si="0"/>
        <v/>
      </c>
      <c r="E16" s="55" t="str">
        <f t="shared" ca="1" si="0"/>
        <v/>
      </c>
      <c r="F16" s="55" t="str">
        <f t="shared" ca="1" si="0"/>
        <v/>
      </c>
      <c r="G16" s="55" t="str">
        <f t="shared" ca="1" si="0"/>
        <v/>
      </c>
      <c r="H16" s="55" t="str">
        <f t="shared" ca="1" si="0"/>
        <v/>
      </c>
      <c r="I16" s="55" t="str">
        <f t="shared" ca="1" si="0"/>
        <v/>
      </c>
      <c r="J16" s="55" t="str">
        <f t="shared" ca="1" si="0"/>
        <v/>
      </c>
      <c r="K16" s="55" t="str">
        <f t="shared" ca="1" si="0"/>
        <v/>
      </c>
      <c r="L16" s="55">
        <f t="shared" ca="1" si="0"/>
        <v>144.85851464447126</v>
      </c>
      <c r="N16" s="54"/>
      <c r="O16" s="54"/>
      <c r="P16" s="54"/>
      <c r="Q16" s="54"/>
      <c r="R16" s="54"/>
      <c r="S16" s="54"/>
      <c r="T16" s="54"/>
      <c r="U16" s="54"/>
      <c r="V16" s="54"/>
      <c r="W16" s="54"/>
    </row>
    <row r="17" spans="1:24" x14ac:dyDescent="0.2">
      <c r="A17" s="49">
        <v>9</v>
      </c>
      <c r="B17" s="54"/>
      <c r="C17" s="55" t="str">
        <f t="shared" ca="1" si="0"/>
        <v/>
      </c>
      <c r="D17" s="55" t="str">
        <f t="shared" ca="1" si="0"/>
        <v/>
      </c>
      <c r="E17" s="55" t="str">
        <f t="shared" ca="1" si="0"/>
        <v/>
      </c>
      <c r="F17" s="55" t="str">
        <f t="shared" ca="1" si="0"/>
        <v/>
      </c>
      <c r="G17" s="55" t="str">
        <f t="shared" ca="1" si="0"/>
        <v/>
      </c>
      <c r="H17" s="55" t="str">
        <f t="shared" ca="1" si="0"/>
        <v/>
      </c>
      <c r="I17" s="55" t="str">
        <f t="shared" ca="1" si="0"/>
        <v/>
      </c>
      <c r="J17" s="55" t="str">
        <f t="shared" ca="1" si="0"/>
        <v/>
      </c>
      <c r="K17" s="55">
        <f t="shared" ca="1" si="0"/>
        <v>139.58849502676972</v>
      </c>
      <c r="L17" s="55">
        <f t="shared" ca="1" si="0"/>
        <v>134.51020115497357</v>
      </c>
      <c r="N17" s="54"/>
      <c r="O17" s="54"/>
      <c r="P17" s="54"/>
      <c r="Q17" s="54"/>
      <c r="R17" s="54"/>
      <c r="S17" s="54"/>
      <c r="T17" s="54"/>
      <c r="U17" s="54"/>
      <c r="V17" s="54"/>
      <c r="W17" s="54"/>
    </row>
    <row r="18" spans="1:24" x14ac:dyDescent="0.2">
      <c r="A18" s="49">
        <v>8</v>
      </c>
      <c r="B18" s="54"/>
      <c r="C18" s="55" t="str">
        <f t="shared" ca="1" si="0"/>
        <v/>
      </c>
      <c r="D18" s="55" t="str">
        <f t="shared" ca="1" si="0"/>
        <v/>
      </c>
      <c r="E18" s="55" t="str">
        <f t="shared" ca="1" si="0"/>
        <v/>
      </c>
      <c r="F18" s="55" t="str">
        <f t="shared" ca="1" si="0"/>
        <v/>
      </c>
      <c r="G18" s="55" t="str">
        <f t="shared" ca="1" si="0"/>
        <v/>
      </c>
      <c r="H18" s="55" t="str">
        <f t="shared" ca="1" si="0"/>
        <v/>
      </c>
      <c r="I18" s="55" t="str">
        <f t="shared" ca="1" si="0"/>
        <v/>
      </c>
      <c r="J18" s="55">
        <f t="shared" ca="1" si="0"/>
        <v>134.51020115497357</v>
      </c>
      <c r="K18" s="55">
        <f t="shared" ca="1" si="0"/>
        <v>129.61665795796173</v>
      </c>
      <c r="L18" s="55">
        <f t="shared" ca="1" si="0"/>
        <v>124.90114412091964</v>
      </c>
      <c r="N18" s="54"/>
      <c r="O18" s="54"/>
      <c r="P18" s="54"/>
      <c r="Q18" s="54"/>
      <c r="R18" s="54"/>
      <c r="S18" s="54"/>
      <c r="T18" s="54"/>
      <c r="U18" s="54"/>
      <c r="V18" s="54"/>
      <c r="W18" s="54"/>
    </row>
    <row r="19" spans="1:24" x14ac:dyDescent="0.2">
      <c r="A19" s="49">
        <v>7</v>
      </c>
      <c r="B19" s="54"/>
      <c r="C19" s="55" t="str">
        <f t="shared" ca="1" si="0"/>
        <v/>
      </c>
      <c r="D19" s="55" t="str">
        <f t="shared" ca="1" si="0"/>
        <v/>
      </c>
      <c r="E19" s="55" t="str">
        <f t="shared" ca="1" si="0"/>
        <v/>
      </c>
      <c r="F19" s="55" t="str">
        <f t="shared" ca="1" si="0"/>
        <v/>
      </c>
      <c r="G19" s="55" t="str">
        <f t="shared" ca="1" si="0"/>
        <v/>
      </c>
      <c r="H19" s="55" t="str">
        <f t="shared" ca="1" si="0"/>
        <v/>
      </c>
      <c r="I19" s="55">
        <f t="shared" ca="1" si="0"/>
        <v>129.61665795796173</v>
      </c>
      <c r="J19" s="55">
        <f t="shared" ca="1" si="0"/>
        <v>124.90114412091964</v>
      </c>
      <c r="K19" s="55">
        <f t="shared" ca="1" si="0"/>
        <v>120.35718285356768</v>
      </c>
      <c r="L19" s="55">
        <f t="shared" ca="1" si="0"/>
        <v>115.97853299424577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</row>
    <row r="20" spans="1:24" x14ac:dyDescent="0.2">
      <c r="A20" s="49">
        <v>6</v>
      </c>
      <c r="B20" s="54"/>
      <c r="C20" s="55" t="str">
        <f t="shared" ca="1" si="0"/>
        <v/>
      </c>
      <c r="D20" s="55" t="str">
        <f t="shared" ca="1" si="0"/>
        <v/>
      </c>
      <c r="E20" s="55" t="str">
        <f t="shared" ca="1" si="0"/>
        <v/>
      </c>
      <c r="F20" s="55" t="str">
        <f t="shared" ca="1" si="0"/>
        <v/>
      </c>
      <c r="G20" s="55" t="str">
        <f t="shared" ca="1" si="0"/>
        <v/>
      </c>
      <c r="H20" s="55">
        <f t="shared" ca="1" si="0"/>
        <v>124.90114412091964</v>
      </c>
      <c r="I20" s="55">
        <f t="shared" ca="1" si="0"/>
        <v>120.35718285356768</v>
      </c>
      <c r="J20" s="55">
        <f t="shared" ca="1" si="0"/>
        <v>115.97853299424577</v>
      </c>
      <c r="K20" s="55">
        <f t="shared" ca="1" si="0"/>
        <v>111.75918043763546</v>
      </c>
      <c r="L20" s="55">
        <f t="shared" ca="1" si="0"/>
        <v>107.69332987434539</v>
      </c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 spans="1:24" x14ac:dyDescent="0.2">
      <c r="A21" s="49">
        <v>5</v>
      </c>
      <c r="C21" s="55" t="str">
        <f t="shared" ca="1" si="0"/>
        <v/>
      </c>
      <c r="D21" s="55" t="str">
        <f t="shared" ca="1" si="0"/>
        <v/>
      </c>
      <c r="E21" s="55" t="str">
        <f t="shared" ca="1" si="0"/>
        <v/>
      </c>
      <c r="F21" s="55" t="str">
        <f t="shared" ca="1" si="0"/>
        <v/>
      </c>
      <c r="G21" s="55">
        <f t="shared" ca="1" si="0"/>
        <v>120.35718285356768</v>
      </c>
      <c r="H21" s="55">
        <f t="shared" ca="1" si="0"/>
        <v>115.97853299424577</v>
      </c>
      <c r="I21" s="55">
        <f t="shared" ca="1" si="0"/>
        <v>111.75918043763546</v>
      </c>
      <c r="J21" s="55">
        <f t="shared" ca="1" si="0"/>
        <v>107.69332987434539</v>
      </c>
      <c r="K21" s="55">
        <f t="shared" ca="1" si="0"/>
        <v>103.77539683101452</v>
      </c>
      <c r="L21" s="55">
        <f t="shared" ca="1" si="0"/>
        <v>99.999999999999986</v>
      </c>
      <c r="N21" s="56"/>
      <c r="O21" s="56"/>
      <c r="P21" s="56"/>
      <c r="Q21" s="56"/>
      <c r="R21" s="56"/>
      <c r="S21" s="56"/>
      <c r="T21" s="56"/>
      <c r="U21" s="56"/>
      <c r="V21" s="56"/>
      <c r="W21" s="56"/>
    </row>
    <row r="22" spans="1:24" x14ac:dyDescent="0.2">
      <c r="A22" s="49">
        <v>4</v>
      </c>
      <c r="C22" s="55" t="str">
        <f t="shared" ca="1" si="0"/>
        <v/>
      </c>
      <c r="D22" s="55" t="str">
        <f t="shared" ca="1" si="0"/>
        <v/>
      </c>
      <c r="E22" s="55" t="str">
        <f t="shared" ca="1" si="0"/>
        <v/>
      </c>
      <c r="F22" s="55">
        <f t="shared" ca="1" si="0"/>
        <v>115.97853299424578</v>
      </c>
      <c r="G22" s="55">
        <f t="shared" ca="1" si="0"/>
        <v>111.75918043763548</v>
      </c>
      <c r="H22" s="55">
        <f t="shared" ca="1" si="0"/>
        <v>107.69332987434541</v>
      </c>
      <c r="I22" s="55">
        <f t="shared" ca="1" si="0"/>
        <v>103.77539683101452</v>
      </c>
      <c r="J22" s="55">
        <f t="shared" ca="1" si="0"/>
        <v>99.999999999999986</v>
      </c>
      <c r="K22" s="55">
        <f t="shared" ca="1" si="0"/>
        <v>96.361953848114581</v>
      </c>
      <c r="L22" s="55">
        <f t="shared" ca="1" si="0"/>
        <v>92.856261494261659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</row>
    <row r="23" spans="1:24" x14ac:dyDescent="0.2">
      <c r="A23" s="49">
        <v>3</v>
      </c>
      <c r="C23" s="55" t="str">
        <f t="shared" ca="1" si="0"/>
        <v/>
      </c>
      <c r="D23" s="55" t="str">
        <f t="shared" ca="1" si="0"/>
        <v/>
      </c>
      <c r="E23" s="55">
        <f t="shared" ca="1" si="0"/>
        <v>111.75918043763548</v>
      </c>
      <c r="F23" s="55">
        <f t="shared" ca="1" si="0"/>
        <v>107.69332987434541</v>
      </c>
      <c r="G23" s="55">
        <f t="shared" ca="1" si="0"/>
        <v>103.77539683101452</v>
      </c>
      <c r="H23" s="55">
        <f t="shared" ca="1" si="0"/>
        <v>99.999999999999986</v>
      </c>
      <c r="I23" s="55">
        <f t="shared" ca="1" si="0"/>
        <v>96.361953848114581</v>
      </c>
      <c r="J23" s="55">
        <f t="shared" ca="1" si="0"/>
        <v>92.856261494261659</v>
      </c>
      <c r="K23" s="55">
        <f t="shared" ca="1" si="0"/>
        <v>89.478107846185026</v>
      </c>
      <c r="L23" s="55">
        <f t="shared" ca="1" si="0"/>
        <v>86.222852986907014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</row>
    <row r="24" spans="1:24" x14ac:dyDescent="0.2">
      <c r="A24" s="49">
        <v>2</v>
      </c>
      <c r="C24" s="55" t="str">
        <f t="shared" ca="1" si="0"/>
        <v/>
      </c>
      <c r="D24" s="55">
        <f t="shared" ca="1" si="0"/>
        <v>107.69332987434541</v>
      </c>
      <c r="E24" s="55">
        <f t="shared" ca="1" si="0"/>
        <v>103.77539683101452</v>
      </c>
      <c r="F24" s="55">
        <f t="shared" ca="1" si="0"/>
        <v>99.999999999999986</v>
      </c>
      <c r="G24" s="55">
        <f t="shared" ca="1" si="0"/>
        <v>96.361953848114581</v>
      </c>
      <c r="H24" s="55">
        <f t="shared" ca="1" si="0"/>
        <v>92.856261494261659</v>
      </c>
      <c r="I24" s="55">
        <f t="shared" ca="1" si="0"/>
        <v>89.478107846185026</v>
      </c>
      <c r="J24" s="55">
        <f t="shared" ca="1" si="0"/>
        <v>86.222852986907014</v>
      </c>
      <c r="K24" s="55">
        <f t="shared" ca="1" si="0"/>
        <v>83.086025801771029</v>
      </c>
      <c r="L24" s="55">
        <f t="shared" ca="1" si="0"/>
        <v>80.063317837335177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</row>
    <row r="25" spans="1:24" x14ac:dyDescent="0.2">
      <c r="A25" s="49">
        <v>1</v>
      </c>
      <c r="C25" s="55">
        <f t="shared" ca="1" si="0"/>
        <v>103.77539683101453</v>
      </c>
      <c r="D25" s="55">
        <f t="shared" ca="1" si="0"/>
        <v>100</v>
      </c>
      <c r="E25" s="55">
        <f t="shared" ca="1" si="0"/>
        <v>96.361953848114595</v>
      </c>
      <c r="F25" s="55">
        <f t="shared" ca="1" si="0"/>
        <v>92.856261494261673</v>
      </c>
      <c r="G25" s="55">
        <f t="shared" ca="1" si="0"/>
        <v>89.478107846185026</v>
      </c>
      <c r="H25" s="55">
        <f t="shared" ca="1" si="0"/>
        <v>86.222852986907014</v>
      </c>
      <c r="I25" s="55">
        <f t="shared" ca="1" si="0"/>
        <v>83.086025801771029</v>
      </c>
      <c r="J25" s="55">
        <f t="shared" ca="1" si="0"/>
        <v>80.063317837335177</v>
      </c>
      <c r="K25" s="55">
        <f t="shared" ca="1" si="0"/>
        <v>77.150577383682219</v>
      </c>
      <c r="L25" s="55">
        <f t="shared" ca="1" si="0"/>
        <v>74.343803772017793</v>
      </c>
      <c r="N25" s="56"/>
      <c r="O25" s="56"/>
      <c r="P25" s="56"/>
      <c r="Q25" s="56"/>
      <c r="R25" s="56"/>
      <c r="S25" s="56"/>
      <c r="T25" s="56"/>
      <c r="U25" s="56"/>
      <c r="V25" s="56"/>
      <c r="W25" s="56"/>
    </row>
    <row r="26" spans="1:24" x14ac:dyDescent="0.2">
      <c r="A26" s="49">
        <v>0</v>
      </c>
      <c r="B26" s="55">
        <f>$B$2</f>
        <v>100</v>
      </c>
      <c r="C26" s="55">
        <f t="shared" ca="1" si="0"/>
        <v>96.361953848114595</v>
      </c>
      <c r="D26" s="55">
        <f t="shared" ca="1" si="0"/>
        <v>92.856261494261673</v>
      </c>
      <c r="E26" s="55">
        <f t="shared" ca="1" si="0"/>
        <v>89.478107846185026</v>
      </c>
      <c r="F26" s="55">
        <f t="shared" ca="1" si="0"/>
        <v>86.222852986907014</v>
      </c>
      <c r="G26" s="55">
        <f t="shared" ca="1" si="0"/>
        <v>83.086025801771029</v>
      </c>
      <c r="H26" s="55">
        <f t="shared" ca="1" si="0"/>
        <v>80.063317837335177</v>
      </c>
      <c r="I26" s="55">
        <f t="shared" ca="1" si="0"/>
        <v>77.150577383682219</v>
      </c>
      <c r="J26" s="55">
        <f t="shared" ca="1" si="0"/>
        <v>74.343803772017793</v>
      </c>
      <c r="K26" s="55">
        <f t="shared" ca="1" si="0"/>
        <v>71.639141879724662</v>
      </c>
      <c r="L26" s="55">
        <f t="shared" ca="1" si="0"/>
        <v>69.032876835325609</v>
      </c>
      <c r="N26" s="56"/>
      <c r="O26" s="56"/>
      <c r="P26" s="56"/>
      <c r="Q26" s="56"/>
      <c r="R26" s="56"/>
      <c r="S26" s="56"/>
      <c r="T26" s="56"/>
      <c r="U26" s="56"/>
      <c r="V26" s="56"/>
      <c r="W26" s="56"/>
    </row>
    <row r="27" spans="1:24" x14ac:dyDescent="0.2">
      <c r="B27" s="57"/>
      <c r="C27" s="57"/>
      <c r="D27" s="56"/>
      <c r="E27" s="56"/>
      <c r="F27" s="56"/>
      <c r="G27" s="56"/>
      <c r="H27" s="56"/>
      <c r="I27" s="56"/>
      <c r="J27" s="56"/>
      <c r="K27" s="56"/>
      <c r="N27" s="56"/>
      <c r="O27" s="56"/>
      <c r="P27" s="56"/>
      <c r="Q27" s="56"/>
      <c r="R27" s="56"/>
      <c r="S27" s="56"/>
      <c r="T27" s="56"/>
      <c r="U27" s="56"/>
      <c r="V27" s="56"/>
      <c r="W27" s="56"/>
    </row>
    <row r="29" spans="1:24" x14ac:dyDescent="0.2">
      <c r="A29" s="58" t="s">
        <v>34</v>
      </c>
    </row>
    <row r="30" spans="1:24" x14ac:dyDescent="0.2">
      <c r="B30" s="54">
        <v>0</v>
      </c>
      <c r="C30" s="54">
        <v>1</v>
      </c>
      <c r="D30" s="54">
        <v>2</v>
      </c>
      <c r="E30" s="54">
        <v>3</v>
      </c>
      <c r="F30" s="54">
        <v>4</v>
      </c>
      <c r="G30" s="54">
        <v>5</v>
      </c>
      <c r="H30" s="54">
        <v>6</v>
      </c>
      <c r="I30" s="54">
        <v>7</v>
      </c>
      <c r="J30" s="54">
        <v>8</v>
      </c>
      <c r="K30" s="54">
        <v>9</v>
      </c>
      <c r="L30" s="49">
        <v>10</v>
      </c>
      <c r="O30" s="54"/>
      <c r="P30" s="54"/>
      <c r="Q30" s="54"/>
      <c r="R30" s="54"/>
      <c r="S30" s="54"/>
      <c r="T30" s="54"/>
      <c r="U30" s="54"/>
      <c r="V30" s="54"/>
      <c r="W30" s="54"/>
      <c r="X30" s="54"/>
    </row>
    <row r="31" spans="1:24" x14ac:dyDescent="0.2">
      <c r="A31" s="49">
        <v>10</v>
      </c>
      <c r="B31" s="59" t="str">
        <f t="shared" ref="B31:K41" si="1">IF($A31 &lt;= B$30, ($B$10*C30+$B$11*C31)/EXP($B$6 * $B$3/$B$5),"")</f>
        <v/>
      </c>
      <c r="C31" s="59" t="str">
        <f t="shared" si="1"/>
        <v/>
      </c>
      <c r="D31" s="59" t="str">
        <f t="shared" si="1"/>
        <v/>
      </c>
      <c r="E31" s="59" t="str">
        <f t="shared" si="1"/>
        <v/>
      </c>
      <c r="F31" s="59" t="str">
        <f t="shared" si="1"/>
        <v/>
      </c>
      <c r="G31" s="59" t="str">
        <f t="shared" si="1"/>
        <v/>
      </c>
      <c r="H31" s="59" t="str">
        <f t="shared" si="1"/>
        <v/>
      </c>
      <c r="I31" s="59" t="str">
        <f t="shared" si="1"/>
        <v/>
      </c>
      <c r="J31" s="59" t="str">
        <f t="shared" si="1"/>
        <v/>
      </c>
      <c r="K31" s="59" t="str">
        <f t="shared" si="1"/>
        <v/>
      </c>
      <c r="L31" s="56">
        <f t="shared" ref="L31:L40" ca="1" si="2">MAX($G$2*(L16-$G$3),0)</f>
        <v>44.858514644471256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</row>
    <row r="32" spans="1:24" x14ac:dyDescent="0.2">
      <c r="A32" s="49">
        <v>9</v>
      </c>
      <c r="B32" s="59" t="str">
        <f t="shared" si="1"/>
        <v/>
      </c>
      <c r="C32" s="59" t="str">
        <f t="shared" si="1"/>
        <v/>
      </c>
      <c r="D32" s="59" t="str">
        <f t="shared" si="1"/>
        <v/>
      </c>
      <c r="E32" s="59" t="str">
        <f t="shared" si="1"/>
        <v/>
      </c>
      <c r="F32" s="59" t="str">
        <f t="shared" si="1"/>
        <v/>
      </c>
      <c r="G32" s="59" t="str">
        <f t="shared" si="1"/>
        <v/>
      </c>
      <c r="H32" s="59" t="str">
        <f t="shared" si="1"/>
        <v/>
      </c>
      <c r="I32" s="59" t="str">
        <f t="shared" si="1"/>
        <v/>
      </c>
      <c r="J32" s="59" t="str">
        <f t="shared" si="1"/>
        <v/>
      </c>
      <c r="K32" s="59">
        <f t="shared" ca="1" si="1"/>
        <v>39.886574883955973</v>
      </c>
      <c r="L32" s="56">
        <f t="shared" ca="1" si="2"/>
        <v>34.510201154973572</v>
      </c>
      <c r="O32" s="54"/>
      <c r="P32" s="54"/>
      <c r="Q32" s="54"/>
      <c r="R32" s="54"/>
      <c r="S32" s="54"/>
      <c r="T32" s="54"/>
      <c r="U32" s="54"/>
      <c r="V32" s="54"/>
      <c r="W32" s="54"/>
      <c r="X32" s="54"/>
    </row>
    <row r="33" spans="1:24" x14ac:dyDescent="0.2">
      <c r="A33" s="49">
        <v>8</v>
      </c>
      <c r="B33" s="59" t="str">
        <f t="shared" si="1"/>
        <v/>
      </c>
      <c r="C33" s="59" t="str">
        <f t="shared" si="1"/>
        <v/>
      </c>
      <c r="D33" s="59" t="str">
        <f t="shared" si="1"/>
        <v/>
      </c>
      <c r="E33" s="59" t="str">
        <f t="shared" si="1"/>
        <v/>
      </c>
      <c r="F33" s="59" t="str">
        <f t="shared" si="1"/>
        <v/>
      </c>
      <c r="G33" s="59" t="str">
        <f t="shared" si="1"/>
        <v/>
      </c>
      <c r="H33" s="59" t="str">
        <f t="shared" si="1"/>
        <v/>
      </c>
      <c r="I33" s="59" t="str">
        <f t="shared" si="1"/>
        <v/>
      </c>
      <c r="J33" s="59">
        <f t="shared" ca="1" si="1"/>
        <v>35.105472353333475</v>
      </c>
      <c r="K33" s="59">
        <f t="shared" ca="1" si="1"/>
        <v>29.914737815147991</v>
      </c>
      <c r="L33" s="56">
        <f t="shared" ca="1" si="2"/>
        <v>24.901144120919639</v>
      </c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 spans="1:24" x14ac:dyDescent="0.2">
      <c r="A34" s="49">
        <v>7</v>
      </c>
      <c r="B34" s="59" t="str">
        <f t="shared" si="1"/>
        <v/>
      </c>
      <c r="C34" s="59" t="str">
        <f t="shared" si="1"/>
        <v/>
      </c>
      <c r="D34" s="59" t="str">
        <f t="shared" si="1"/>
        <v/>
      </c>
      <c r="E34" s="59" t="str">
        <f t="shared" si="1"/>
        <v/>
      </c>
      <c r="F34" s="59" t="str">
        <f t="shared" si="1"/>
        <v/>
      </c>
      <c r="G34" s="59" t="str">
        <f t="shared" si="1"/>
        <v/>
      </c>
      <c r="H34" s="59" t="str">
        <f t="shared" si="1"/>
        <v/>
      </c>
      <c r="I34" s="59">
        <f t="shared" ca="1" si="1"/>
        <v>30.508234629969948</v>
      </c>
      <c r="J34" s="59">
        <f t="shared" ca="1" si="1"/>
        <v>25.496415319279542</v>
      </c>
      <c r="K34" s="59">
        <f t="shared" ca="1" si="1"/>
        <v>20.655262710753927</v>
      </c>
      <c r="L34" s="56">
        <f t="shared" ca="1" si="2"/>
        <v>15.978532994245768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</row>
    <row r="35" spans="1:24" x14ac:dyDescent="0.2">
      <c r="A35" s="49">
        <v>6</v>
      </c>
      <c r="B35" s="59" t="str">
        <f t="shared" si="1"/>
        <v/>
      </c>
      <c r="C35" s="59" t="str">
        <f t="shared" si="1"/>
        <v/>
      </c>
      <c r="D35" s="59" t="str">
        <f t="shared" si="1"/>
        <v/>
      </c>
      <c r="E35" s="59" t="str">
        <f t="shared" si="1"/>
        <v/>
      </c>
      <c r="F35" s="59" t="str">
        <f t="shared" si="1"/>
        <v/>
      </c>
      <c r="G35" s="59" t="str">
        <f t="shared" si="1"/>
        <v/>
      </c>
      <c r="H35" s="59">
        <f t="shared" ca="1" si="1"/>
        <v>26.08814303964348</v>
      </c>
      <c r="I35" s="59">
        <f t="shared" ca="1" si="1"/>
        <v>21.248759525575892</v>
      </c>
      <c r="J35" s="59">
        <f t="shared" ca="1" si="1"/>
        <v>16.573804192605675</v>
      </c>
      <c r="K35" s="59">
        <f t="shared" ca="1" si="1"/>
        <v>12.057260294821715</v>
      </c>
      <c r="L35" s="56">
        <f t="shared" ca="1" si="2"/>
        <v>7.6933298743453946</v>
      </c>
      <c r="O35" s="54"/>
      <c r="P35" s="54"/>
      <c r="Q35" s="54"/>
      <c r="R35" s="54"/>
      <c r="S35" s="54"/>
      <c r="T35" s="54"/>
      <c r="U35" s="54"/>
      <c r="V35" s="54"/>
      <c r="W35" s="54"/>
      <c r="X35" s="54"/>
    </row>
    <row r="36" spans="1:24" x14ac:dyDescent="0.2">
      <c r="A36" s="49">
        <v>5</v>
      </c>
      <c r="B36" s="59" t="str">
        <f t="shared" si="1"/>
        <v/>
      </c>
      <c r="C36" s="59" t="str">
        <f t="shared" si="1"/>
        <v/>
      </c>
      <c r="D36" s="59" t="str">
        <f t="shared" si="1"/>
        <v/>
      </c>
      <c r="E36" s="59" t="str">
        <f t="shared" si="1"/>
        <v/>
      </c>
      <c r="F36" s="59" t="str">
        <f t="shared" si="1"/>
        <v/>
      </c>
      <c r="G36" s="59">
        <f t="shared" ca="1" si="1"/>
        <v>21.838723424796036</v>
      </c>
      <c r="H36" s="59">
        <f t="shared" ca="1" si="1"/>
        <v>17.165531912969612</v>
      </c>
      <c r="I36" s="59">
        <f t="shared" ca="1" si="1"/>
        <v>12.650757109643681</v>
      </c>
      <c r="J36" s="59">
        <f t="shared" ca="1" si="1"/>
        <v>8.2886010727053048</v>
      </c>
      <c r="K36" s="59">
        <f t="shared" ca="1" si="1"/>
        <v>4.0734766882007767</v>
      </c>
      <c r="L36" s="56">
        <f t="shared" ca="1" si="2"/>
        <v>0</v>
      </c>
      <c r="P36" s="56"/>
      <c r="Q36" s="56"/>
      <c r="R36" s="56"/>
      <c r="S36" s="57"/>
      <c r="T36" s="57"/>
      <c r="U36" s="57"/>
      <c r="V36" s="57"/>
      <c r="W36" s="57"/>
      <c r="X36" s="57"/>
    </row>
    <row r="37" spans="1:24" x14ac:dyDescent="0.2">
      <c r="A37" s="49">
        <v>4</v>
      </c>
      <c r="B37" s="59" t="str">
        <f t="shared" si="1"/>
        <v/>
      </c>
      <c r="C37" s="59" t="str">
        <f t="shared" si="1"/>
        <v/>
      </c>
      <c r="D37" s="59" t="str">
        <f t="shared" si="1"/>
        <v/>
      </c>
      <c r="E37" s="59" t="str">
        <f t="shared" si="1"/>
        <v/>
      </c>
      <c r="F37" s="59">
        <f t="shared" ca="1" si="1"/>
        <v>17.828352010990081</v>
      </c>
      <c r="G37" s="59">
        <f t="shared" ca="1" si="1"/>
        <v>13.400311945973565</v>
      </c>
      <c r="H37" s="59">
        <f t="shared" ca="1" si="1"/>
        <v>9.2216723342921316</v>
      </c>
      <c r="I37" s="59">
        <f t="shared" ca="1" si="1"/>
        <v>5.3970614092956604</v>
      </c>
      <c r="J37" s="59">
        <f t="shared" ca="1" si="1"/>
        <v>2.1568309952037565</v>
      </c>
      <c r="K37" s="59">
        <f t="shared" ca="1" si="1"/>
        <v>0</v>
      </c>
      <c r="L37" s="56">
        <f t="shared" ca="1" si="2"/>
        <v>0</v>
      </c>
      <c r="P37" s="56"/>
      <c r="Q37" s="56"/>
      <c r="R37" s="57"/>
      <c r="S37" s="57"/>
      <c r="T37" s="57"/>
      <c r="U37" s="57"/>
      <c r="V37" s="57"/>
      <c r="W37" s="57"/>
      <c r="X37" s="57"/>
    </row>
    <row r="38" spans="1:24" x14ac:dyDescent="0.2">
      <c r="A38" s="49">
        <v>3</v>
      </c>
      <c r="B38" s="59" t="str">
        <f t="shared" si="1"/>
        <v/>
      </c>
      <c r="C38" s="59" t="str">
        <f t="shared" si="1"/>
        <v/>
      </c>
      <c r="D38" s="59" t="str">
        <f t="shared" si="1"/>
        <v/>
      </c>
      <c r="E38" s="59">
        <f t="shared" ca="1" si="1"/>
        <v>14.17100133903481</v>
      </c>
      <c r="F38" s="59">
        <f t="shared" ca="1" si="1"/>
        <v>10.119436167871926</v>
      </c>
      <c r="G38" s="59">
        <f t="shared" ca="1" si="1"/>
        <v>6.4683941561011782</v>
      </c>
      <c r="H38" s="59">
        <f t="shared" ca="1" si="1"/>
        <v>3.3915737914251394</v>
      </c>
      <c r="I38" s="59">
        <f t="shared" ca="1" si="1"/>
        <v>1.1420023478583705</v>
      </c>
      <c r="J38" s="59">
        <f t="shared" ca="1" si="1"/>
        <v>0</v>
      </c>
      <c r="K38" s="59">
        <f t="shared" ca="1" si="1"/>
        <v>0</v>
      </c>
      <c r="L38" s="56">
        <f t="shared" ca="1" si="2"/>
        <v>0</v>
      </c>
      <c r="P38" s="56"/>
      <c r="Q38" s="57"/>
      <c r="R38" s="57"/>
      <c r="S38" s="57"/>
      <c r="T38" s="57"/>
      <c r="U38" s="57"/>
      <c r="V38" s="57"/>
      <c r="W38" s="57"/>
      <c r="X38" s="57"/>
    </row>
    <row r="39" spans="1:24" x14ac:dyDescent="0.2">
      <c r="A39" s="49">
        <v>2</v>
      </c>
      <c r="B39" s="59" t="str">
        <f t="shared" si="1"/>
        <v/>
      </c>
      <c r="C39" s="59" t="str">
        <f t="shared" si="1"/>
        <v/>
      </c>
      <c r="D39" s="59">
        <f t="shared" ca="1" si="1"/>
        <v>10.969449838356557</v>
      </c>
      <c r="E39" s="59">
        <f t="shared" ca="1" si="1"/>
        <v>7.4136610564338072</v>
      </c>
      <c r="F39" s="59">
        <f t="shared" ca="1" si="1"/>
        <v>4.3966640107904196</v>
      </c>
      <c r="G39" s="59">
        <f t="shared" ca="1" si="1"/>
        <v>2.0784815524551643</v>
      </c>
      <c r="H39" s="59">
        <f t="shared" ca="1" si="1"/>
        <v>0.60466924177841086</v>
      </c>
      <c r="I39" s="59">
        <f t="shared" ca="1" si="1"/>
        <v>0</v>
      </c>
      <c r="J39" s="59">
        <f t="shared" ca="1" si="1"/>
        <v>0</v>
      </c>
      <c r="K39" s="59">
        <f t="shared" ca="1" si="1"/>
        <v>0</v>
      </c>
      <c r="L39" s="56">
        <f t="shared" ca="1" si="2"/>
        <v>0</v>
      </c>
      <c r="P39" s="57"/>
      <c r="Q39" s="57"/>
      <c r="R39" s="57"/>
      <c r="S39" s="57"/>
      <c r="T39" s="57"/>
      <c r="U39" s="57"/>
      <c r="V39" s="57"/>
      <c r="W39" s="57"/>
      <c r="X39" s="57"/>
    </row>
    <row r="40" spans="1:24" x14ac:dyDescent="0.2">
      <c r="A40" s="49">
        <v>1</v>
      </c>
      <c r="B40" s="59" t="str">
        <f t="shared" si="1"/>
        <v/>
      </c>
      <c r="C40" s="59">
        <f t="shared" ca="1" si="1"/>
        <v>8.2800337462400329</v>
      </c>
      <c r="D40" s="59">
        <f t="shared" ca="1" si="1"/>
        <v>5.2870867076365551</v>
      </c>
      <c r="E40" s="59">
        <f t="shared" ca="1" si="1"/>
        <v>2.9124706556334194</v>
      </c>
      <c r="F40" s="59">
        <f t="shared" ca="1" si="1"/>
        <v>1.2502051754949441</v>
      </c>
      <c r="G40" s="59">
        <f t="shared" ca="1" si="1"/>
        <v>0.32016124365991461</v>
      </c>
      <c r="H40" s="59">
        <f t="shared" ca="1" si="1"/>
        <v>0</v>
      </c>
      <c r="I40" s="59">
        <f t="shared" ca="1" si="1"/>
        <v>0</v>
      </c>
      <c r="J40" s="59">
        <f t="shared" ca="1" si="1"/>
        <v>0</v>
      </c>
      <c r="K40" s="59">
        <f t="shared" ca="1" si="1"/>
        <v>0</v>
      </c>
      <c r="L40" s="56">
        <f t="shared" ca="1" si="2"/>
        <v>0</v>
      </c>
      <c r="P40" s="57"/>
      <c r="Q40" s="57"/>
      <c r="R40" s="57"/>
      <c r="S40" s="57"/>
      <c r="T40" s="57"/>
      <c r="U40" s="57"/>
      <c r="V40" s="57"/>
      <c r="W40" s="57"/>
      <c r="X40" s="57"/>
    </row>
    <row r="41" spans="1:24" x14ac:dyDescent="0.2">
      <c r="A41" s="49">
        <v>0</v>
      </c>
      <c r="B41" s="59">
        <f t="shared" ca="1" si="1"/>
        <v>6.1057993430111788</v>
      </c>
      <c r="C41" s="59">
        <f t="shared" ca="1" si="1"/>
        <v>3.6824284842980508</v>
      </c>
      <c r="D41" s="59">
        <f t="shared" ca="1" si="1"/>
        <v>1.8886466420813657</v>
      </c>
      <c r="E41" s="59">
        <f t="shared" ca="1" si="1"/>
        <v>0.74121738356941524</v>
      </c>
      <c r="F41" s="59">
        <f t="shared" ca="1" si="1"/>
        <v>0.1695194907556202</v>
      </c>
      <c r="G41" s="59">
        <f t="shared" ca="1" si="1"/>
        <v>0</v>
      </c>
      <c r="H41" s="59">
        <f t="shared" ca="1" si="1"/>
        <v>0</v>
      </c>
      <c r="I41" s="59">
        <f t="shared" ca="1" si="1"/>
        <v>0</v>
      </c>
      <c r="J41" s="59">
        <f t="shared" ca="1" si="1"/>
        <v>0</v>
      </c>
      <c r="K41" s="59">
        <f ca="1">IF($A41 &lt;= K$30, ($B$10*L40+$B$11*L41)/EXP($B$6 * $B$3/$B$5),"")</f>
        <v>0</v>
      </c>
      <c r="L41" s="56">
        <f ca="1">MAX($G$2*(L26-$G$3),0)</f>
        <v>0</v>
      </c>
      <c r="O41" s="57"/>
      <c r="P41" s="57"/>
      <c r="Q41" s="57"/>
      <c r="R41" s="57"/>
      <c r="S41" s="57"/>
      <c r="T41" s="57"/>
      <c r="U41" s="57"/>
      <c r="V41" s="57"/>
      <c r="W41" s="57"/>
      <c r="X41" s="57"/>
    </row>
    <row r="46" spans="1:24" x14ac:dyDescent="0.2">
      <c r="M46" s="49" t="s">
        <v>35</v>
      </c>
    </row>
  </sheetData>
  <mergeCells count="2">
    <mergeCell ref="A1:B1"/>
    <mergeCell ref="F1:G1"/>
  </mergeCells>
  <dataValidations count="1">
    <dataValidation type="list" allowBlank="1" showInputMessage="1" showErrorMessage="1" sqref="G2">
      <formula1>"1, -1"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10</vt:i4>
      </vt:variant>
    </vt:vector>
  </HeadingPairs>
  <TitlesOfParts>
    <vt:vector size="18" baseType="lpstr">
      <vt:lpstr>Questions6And7</vt:lpstr>
      <vt:lpstr>Question3And4</vt:lpstr>
      <vt:lpstr>15PeriodBinomialModelAmerican</vt:lpstr>
      <vt:lpstr>EuropeanCall_EG</vt:lpstr>
      <vt:lpstr>AmericanPut_EG</vt:lpstr>
      <vt:lpstr>OptionsOnFuturesEG</vt:lpstr>
      <vt:lpstr>15PeriodBinomialModel</vt:lpstr>
      <vt:lpstr>10PeriodBinomialModel</vt:lpstr>
      <vt:lpstr>OptionsOnFuturesEG!FuturesLattice</vt:lpstr>
      <vt:lpstr>Questions6And7!FuturesLattice</vt:lpstr>
      <vt:lpstr>OptionsOnFuturesEG!FuturesOptionLattice</vt:lpstr>
      <vt:lpstr>Questions6And7!FuturesOptionLattice</vt:lpstr>
      <vt:lpstr>AmericanPut_EG!OptionLattice</vt:lpstr>
      <vt:lpstr>EuropeanCall_EG!OptionLattice</vt:lpstr>
      <vt:lpstr>AmericanPut_EG!StockLattice</vt:lpstr>
      <vt:lpstr>EuropeanCall_EG!StockLattice</vt:lpstr>
      <vt:lpstr>OptionsOnFuturesEG!StockLattice_2</vt:lpstr>
      <vt:lpstr>Questions6And7!StockLattice_2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Ralph</cp:lastModifiedBy>
  <dcterms:created xsi:type="dcterms:W3CDTF">2013-01-29T14:00:58Z</dcterms:created>
  <dcterms:modified xsi:type="dcterms:W3CDTF">2016-01-18T16:34:50Z</dcterms:modified>
</cp:coreProperties>
</file>